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cornellprod-my.sharepoint.com/personal/wgt2_cornell_edu/Documents/Desktop/"/>
    </mc:Choice>
  </mc:AlternateContent>
  <xr:revisionPtr revIDLastSave="14" documentId="13_ncr:1_{810CEC99-773D-4AA3-8D25-E852A5D5B7C5}" xr6:coauthVersionLast="47" xr6:coauthVersionMax="47" xr10:uidLastSave="{DAA1C70A-2757-4AFC-B09E-03CB1D2BA26D}"/>
  <bookViews>
    <workbookView xWindow="-27630" yWindow="1170" windowWidth="23880" windowHeight="14475" xr2:uid="{27AB1F32-37C5-47AC-964C-DEE949107C0D}"/>
  </bookViews>
  <sheets>
    <sheet name="EA Budge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8" i="1" l="1"/>
  <c r="E197" i="1"/>
  <c r="E196" i="1"/>
  <c r="D196" i="1"/>
  <c r="D195" i="1"/>
  <c r="E195" i="1" s="1"/>
  <c r="E194" i="1"/>
  <c r="E193" i="1"/>
  <c r="E192" i="1"/>
  <c r="E191" i="1"/>
  <c r="D190" i="1"/>
  <c r="E190" i="1" s="1"/>
  <c r="E189" i="1"/>
  <c r="D188" i="1"/>
  <c r="D198" i="1" s="1"/>
  <c r="Q183" i="1"/>
  <c r="P183" i="1"/>
  <c r="O183" i="1"/>
  <c r="N183" i="1"/>
  <c r="L183" i="1"/>
  <c r="K183" i="1"/>
  <c r="J183" i="1"/>
  <c r="I183" i="1"/>
  <c r="H183" i="1"/>
  <c r="R168" i="1" s="1"/>
  <c r="Q182" i="1"/>
  <c r="P182" i="1"/>
  <c r="O182" i="1"/>
  <c r="N182" i="1"/>
  <c r="M182" i="1"/>
  <c r="K182" i="1"/>
  <c r="J182" i="1"/>
  <c r="I182" i="1"/>
  <c r="H182" i="1"/>
  <c r="G182" i="1"/>
  <c r="R167" i="1" s="1"/>
  <c r="C180" i="1"/>
  <c r="E180" i="1" s="1"/>
  <c r="E179" i="1"/>
  <c r="E178" i="1"/>
  <c r="E177" i="1"/>
  <c r="E176" i="1"/>
  <c r="E175" i="1"/>
  <c r="E174" i="1"/>
  <c r="E173" i="1"/>
  <c r="E172" i="1"/>
  <c r="E171" i="1"/>
  <c r="E170" i="1"/>
  <c r="O164" i="1"/>
  <c r="H164" i="1"/>
  <c r="F164" i="1"/>
  <c r="C164" i="1"/>
  <c r="D163" i="1"/>
  <c r="E163" i="1" s="1"/>
  <c r="J162" i="1"/>
  <c r="D162" i="1" s="1"/>
  <c r="E162" i="1" s="1"/>
  <c r="D161" i="1"/>
  <c r="E161" i="1" s="1"/>
  <c r="D160" i="1"/>
  <c r="E160" i="1" s="1"/>
  <c r="D159" i="1"/>
  <c r="E159" i="1" s="1"/>
  <c r="E158" i="1"/>
  <c r="D158" i="1"/>
  <c r="E157" i="1"/>
  <c r="D157" i="1"/>
  <c r="D156" i="1"/>
  <c r="E156" i="1" s="1"/>
  <c r="D155" i="1"/>
  <c r="E155" i="1" s="1"/>
  <c r="Q154" i="1"/>
  <c r="Q164" i="1" s="1"/>
  <c r="P154" i="1"/>
  <c r="P164" i="1" s="1"/>
  <c r="N154" i="1"/>
  <c r="N164" i="1" s="1"/>
  <c r="M154" i="1"/>
  <c r="M164" i="1" s="1"/>
  <c r="L154" i="1"/>
  <c r="L164" i="1" s="1"/>
  <c r="K154" i="1"/>
  <c r="K164" i="1" s="1"/>
  <c r="J154" i="1"/>
  <c r="J164" i="1" s="1"/>
  <c r="I154" i="1"/>
  <c r="I164" i="1" s="1"/>
  <c r="H154" i="1"/>
  <c r="G154" i="1"/>
  <c r="G164" i="1" s="1"/>
  <c r="P150" i="1"/>
  <c r="M150" i="1"/>
  <c r="I150" i="1"/>
  <c r="H150" i="1"/>
  <c r="G150" i="1"/>
  <c r="F150" i="1"/>
  <c r="C150" i="1"/>
  <c r="D149" i="1"/>
  <c r="E149" i="1" s="1"/>
  <c r="D148" i="1"/>
  <c r="E148" i="1" s="1"/>
  <c r="D147" i="1"/>
  <c r="E147" i="1" s="1"/>
  <c r="D146" i="1"/>
  <c r="E146" i="1" s="1"/>
  <c r="E145" i="1"/>
  <c r="D145" i="1"/>
  <c r="E144" i="1"/>
  <c r="D144" i="1"/>
  <c r="D143" i="1"/>
  <c r="E143" i="1" s="1"/>
  <c r="Q142" i="1"/>
  <c r="D142" i="1"/>
  <c r="E142" i="1" s="1"/>
  <c r="D141" i="1"/>
  <c r="E141" i="1" s="1"/>
  <c r="Q140" i="1"/>
  <c r="Q150" i="1" s="1"/>
  <c r="O140" i="1"/>
  <c r="O150" i="1" s="1"/>
  <c r="N140" i="1"/>
  <c r="N150" i="1" s="1"/>
  <c r="L140" i="1"/>
  <c r="L150" i="1" s="1"/>
  <c r="K140" i="1"/>
  <c r="D140" i="1" s="1"/>
  <c r="E140" i="1" s="1"/>
  <c r="J140" i="1"/>
  <c r="J150" i="1" s="1"/>
  <c r="L135" i="1"/>
  <c r="J135" i="1"/>
  <c r="G135" i="1"/>
  <c r="C135" i="1"/>
  <c r="O134" i="1"/>
  <c r="D134" i="1"/>
  <c r="E134" i="1" s="1"/>
  <c r="I133" i="1"/>
  <c r="D133" i="1" s="1"/>
  <c r="E133" i="1" s="1"/>
  <c r="O132" i="1"/>
  <c r="N132" i="1"/>
  <c r="M132" i="1"/>
  <c r="D132" i="1" s="1"/>
  <c r="E132" i="1" s="1"/>
  <c r="D131" i="1"/>
  <c r="E131" i="1" s="1"/>
  <c r="D130" i="1"/>
  <c r="E130" i="1" s="1"/>
  <c r="O129" i="1"/>
  <c r="E129" i="1"/>
  <c r="D129" i="1"/>
  <c r="D128" i="1"/>
  <c r="E128" i="1" s="1"/>
  <c r="I127" i="1"/>
  <c r="D127" i="1"/>
  <c r="E127" i="1" s="1"/>
  <c r="O126" i="1"/>
  <c r="N126" i="1"/>
  <c r="M126" i="1"/>
  <c r="K126" i="1"/>
  <c r="D126" i="1" s="1"/>
  <c r="E126" i="1" s="1"/>
  <c r="Q125" i="1"/>
  <c r="Q135" i="1" s="1"/>
  <c r="P125" i="1"/>
  <c r="P135" i="1" s="1"/>
  <c r="O125" i="1"/>
  <c r="O135" i="1" s="1"/>
  <c r="N125" i="1"/>
  <c r="N135" i="1" s="1"/>
  <c r="M125" i="1"/>
  <c r="M135" i="1" s="1"/>
  <c r="L125" i="1"/>
  <c r="K125" i="1"/>
  <c r="K135" i="1" s="1"/>
  <c r="J125" i="1"/>
  <c r="I125" i="1"/>
  <c r="I135" i="1" s="1"/>
  <c r="H125" i="1"/>
  <c r="H135" i="1" s="1"/>
  <c r="G125" i="1"/>
  <c r="F125" i="1"/>
  <c r="D125" i="1" s="1"/>
  <c r="E125" i="1" s="1"/>
  <c r="Q120" i="1"/>
  <c r="J120" i="1"/>
  <c r="H120" i="1"/>
  <c r="F120" i="1"/>
  <c r="C120" i="1"/>
  <c r="D119" i="1"/>
  <c r="E119" i="1" s="1"/>
  <c r="I118" i="1"/>
  <c r="D118" i="1"/>
  <c r="E118" i="1" s="1"/>
  <c r="L117" i="1"/>
  <c r="E117" i="1"/>
  <c r="D117" i="1"/>
  <c r="D116" i="1"/>
  <c r="E116" i="1" s="1"/>
  <c r="D115" i="1"/>
  <c r="E115" i="1" s="1"/>
  <c r="D114" i="1"/>
  <c r="E114" i="1" s="1"/>
  <c r="D113" i="1"/>
  <c r="E113" i="1" s="1"/>
  <c r="E112" i="1"/>
  <c r="D112" i="1"/>
  <c r="Q111" i="1"/>
  <c r="P111" i="1"/>
  <c r="M111" i="1"/>
  <c r="K111" i="1"/>
  <c r="D111" i="1" s="1"/>
  <c r="E111" i="1" s="1"/>
  <c r="Q110" i="1"/>
  <c r="P110" i="1"/>
  <c r="P120" i="1" s="1"/>
  <c r="O110" i="1"/>
  <c r="O120" i="1" s="1"/>
  <c r="N110" i="1"/>
  <c r="N120" i="1" s="1"/>
  <c r="M110" i="1"/>
  <c r="M120" i="1" s="1"/>
  <c r="L110" i="1"/>
  <c r="L120" i="1" s="1"/>
  <c r="K110" i="1"/>
  <c r="K120" i="1" s="1"/>
  <c r="J110" i="1"/>
  <c r="I110" i="1"/>
  <c r="I120" i="1" s="1"/>
  <c r="G110" i="1"/>
  <c r="G120" i="1" s="1"/>
  <c r="P105" i="1"/>
  <c r="O105" i="1"/>
  <c r="M105" i="1"/>
  <c r="K105" i="1"/>
  <c r="H105" i="1"/>
  <c r="F105" i="1"/>
  <c r="C105" i="1"/>
  <c r="D103" i="1"/>
  <c r="E103" i="1" s="1"/>
  <c r="I102" i="1"/>
  <c r="D102" i="1" s="1"/>
  <c r="E102" i="1" s="1"/>
  <c r="G101" i="1"/>
  <c r="D101" i="1" s="1"/>
  <c r="E101" i="1" s="1"/>
  <c r="D100" i="1"/>
  <c r="E100" i="1" s="1"/>
  <c r="E99" i="1"/>
  <c r="D99" i="1"/>
  <c r="D98" i="1"/>
  <c r="E98" i="1" s="1"/>
  <c r="D97" i="1"/>
  <c r="E97" i="1" s="1"/>
  <c r="D96" i="1"/>
  <c r="E96" i="1" s="1"/>
  <c r="Q95" i="1"/>
  <c r="D95" i="1" s="1"/>
  <c r="E95" i="1" s="1"/>
  <c r="N94" i="1"/>
  <c r="N105" i="1" s="1"/>
  <c r="M94" i="1"/>
  <c r="L94" i="1"/>
  <c r="L105" i="1" s="1"/>
  <c r="K94" i="1"/>
  <c r="J94" i="1"/>
  <c r="J105" i="1" s="1"/>
  <c r="I94" i="1"/>
  <c r="I105" i="1" s="1"/>
  <c r="H94" i="1"/>
  <c r="G94" i="1"/>
  <c r="G105" i="1" s="1"/>
  <c r="D94" i="1"/>
  <c r="E94" i="1" s="1"/>
  <c r="P88" i="1"/>
  <c r="O88" i="1"/>
  <c r="K88" i="1"/>
  <c r="J88" i="1"/>
  <c r="I88" i="1"/>
  <c r="G88" i="1"/>
  <c r="F88" i="1"/>
  <c r="C88" i="1"/>
  <c r="Q87" i="1"/>
  <c r="N87" i="1"/>
  <c r="N88" i="1" s="1"/>
  <c r="H87" i="1"/>
  <c r="D87" i="1" s="1"/>
  <c r="E87" i="1" s="1"/>
  <c r="E86" i="1"/>
  <c r="D86" i="1"/>
  <c r="D85" i="1"/>
  <c r="E85" i="1" s="1"/>
  <c r="Q84" i="1"/>
  <c r="D84" i="1"/>
  <c r="E84" i="1" s="1"/>
  <c r="D83" i="1"/>
  <c r="E83" i="1" s="1"/>
  <c r="D82" i="1"/>
  <c r="E82" i="1" s="1"/>
  <c r="D81" i="1"/>
  <c r="E81" i="1" s="1"/>
  <c r="D80" i="1"/>
  <c r="E80" i="1" s="1"/>
  <c r="E79" i="1"/>
  <c r="D79" i="1"/>
  <c r="D78" i="1"/>
  <c r="E78" i="1" s="1"/>
  <c r="Q77" i="1"/>
  <c r="Q88" i="1" s="1"/>
  <c r="M77" i="1"/>
  <c r="M88" i="1" s="1"/>
  <c r="L77" i="1"/>
  <c r="D77" i="1" s="1"/>
  <c r="E77" i="1" s="1"/>
  <c r="O72" i="1"/>
  <c r="N72" i="1"/>
  <c r="M72" i="1"/>
  <c r="K72" i="1"/>
  <c r="I72" i="1"/>
  <c r="H72" i="1"/>
  <c r="G72" i="1"/>
  <c r="C72" i="1"/>
  <c r="Q71" i="1"/>
  <c r="D71" i="1" s="1"/>
  <c r="E71" i="1" s="1"/>
  <c r="Q70" i="1"/>
  <c r="L70" i="1"/>
  <c r="L72" i="1" s="1"/>
  <c r="K70" i="1"/>
  <c r="J70" i="1"/>
  <c r="D70" i="1" s="1"/>
  <c r="E70" i="1" s="1"/>
  <c r="Q69" i="1"/>
  <c r="Q72" i="1" s="1"/>
  <c r="E68" i="1"/>
  <c r="D68" i="1"/>
  <c r="D67" i="1"/>
  <c r="E67" i="1" s="1"/>
  <c r="D66" i="1"/>
  <c r="E66" i="1" s="1"/>
  <c r="D65" i="1"/>
  <c r="E65" i="1" s="1"/>
  <c r="J64" i="1"/>
  <c r="D64" i="1" s="1"/>
  <c r="E64" i="1" s="1"/>
  <c r="P63" i="1"/>
  <c r="P72" i="1" s="1"/>
  <c r="E63" i="1"/>
  <c r="D63" i="1"/>
  <c r="G62" i="1"/>
  <c r="F62" i="1"/>
  <c r="F72" i="1" s="1"/>
  <c r="Q57" i="1"/>
  <c r="P57" i="1"/>
  <c r="O57" i="1"/>
  <c r="N57" i="1"/>
  <c r="M57" i="1"/>
  <c r="L57" i="1"/>
  <c r="K57" i="1"/>
  <c r="D57" i="1" s="1"/>
  <c r="J57" i="1"/>
  <c r="I57" i="1"/>
  <c r="H57" i="1"/>
  <c r="G57" i="1"/>
  <c r="F57" i="1"/>
  <c r="C57" i="1"/>
  <c r="E57" i="1" s="1"/>
  <c r="E56" i="1"/>
  <c r="D56" i="1"/>
  <c r="D55" i="1"/>
  <c r="E55" i="1" s="1"/>
  <c r="E54" i="1"/>
  <c r="D54" i="1"/>
  <c r="E53" i="1"/>
  <c r="D53" i="1"/>
  <c r="D52" i="1"/>
  <c r="E52" i="1" s="1"/>
  <c r="E51" i="1"/>
  <c r="D51" i="1"/>
  <c r="E50" i="1"/>
  <c r="D50" i="1"/>
  <c r="D49" i="1"/>
  <c r="E49" i="1" s="1"/>
  <c r="E48" i="1"/>
  <c r="D48" i="1"/>
  <c r="E47" i="1"/>
  <c r="D47" i="1"/>
  <c r="Q42" i="1"/>
  <c r="P42" i="1"/>
  <c r="O42" i="1"/>
  <c r="N42" i="1"/>
  <c r="M42" i="1"/>
  <c r="L42" i="1"/>
  <c r="K42" i="1"/>
  <c r="J42" i="1"/>
  <c r="I42" i="1"/>
  <c r="D42" i="1" s="1"/>
  <c r="H42" i="1"/>
  <c r="G42" i="1"/>
  <c r="F42" i="1"/>
  <c r="C42" i="1"/>
  <c r="D41" i="1"/>
  <c r="E41" i="1" s="1"/>
  <c r="D40" i="1"/>
  <c r="E40" i="1" s="1"/>
  <c r="E39" i="1"/>
  <c r="D39" i="1"/>
  <c r="D38" i="1"/>
  <c r="E38" i="1" s="1"/>
  <c r="D37" i="1"/>
  <c r="E37" i="1" s="1"/>
  <c r="D36" i="1"/>
  <c r="E36" i="1" s="1"/>
  <c r="D35" i="1"/>
  <c r="E35" i="1" s="1"/>
  <c r="D34" i="1"/>
  <c r="E34" i="1" s="1"/>
  <c r="E33" i="1"/>
  <c r="D33" i="1"/>
  <c r="D32" i="1"/>
  <c r="E32" i="1" s="1"/>
  <c r="Q27" i="1"/>
  <c r="P27" i="1"/>
  <c r="O27" i="1"/>
  <c r="N27" i="1"/>
  <c r="M27" i="1"/>
  <c r="L27" i="1"/>
  <c r="K27" i="1"/>
  <c r="J27" i="1"/>
  <c r="I27" i="1"/>
  <c r="H27" i="1"/>
  <c r="G27" i="1"/>
  <c r="F27" i="1"/>
  <c r="C27" i="1"/>
  <c r="E26" i="1"/>
  <c r="D26" i="1"/>
  <c r="D25" i="1"/>
  <c r="E25" i="1" s="1"/>
  <c r="D24" i="1"/>
  <c r="E24" i="1" s="1"/>
  <c r="E23" i="1"/>
  <c r="D23" i="1"/>
  <c r="E22" i="1"/>
  <c r="D22" i="1"/>
  <c r="D21" i="1"/>
  <c r="E21" i="1" s="1"/>
  <c r="E20" i="1"/>
  <c r="D20" i="1"/>
  <c r="E19" i="1"/>
  <c r="D19" i="1"/>
  <c r="D18" i="1"/>
  <c r="E18" i="1" s="1"/>
  <c r="D17" i="1"/>
  <c r="E17" i="1" s="1"/>
  <c r="C13" i="1"/>
  <c r="C6" i="1"/>
  <c r="D27" i="1" l="1"/>
  <c r="C7" i="1" s="1"/>
  <c r="C8" i="1" s="1"/>
  <c r="D120" i="1"/>
  <c r="E120" i="1" s="1"/>
  <c r="D164" i="1"/>
  <c r="E164" i="1" s="1"/>
  <c r="E88" i="1"/>
  <c r="D72" i="1"/>
  <c r="E72" i="1" s="1"/>
  <c r="D105" i="1"/>
  <c r="E105" i="1" s="1"/>
  <c r="E42" i="1"/>
  <c r="D150" i="1"/>
  <c r="E150" i="1" s="1"/>
  <c r="E198" i="1"/>
  <c r="L88" i="1"/>
  <c r="D154" i="1"/>
  <c r="E154" i="1" s="1"/>
  <c r="D62" i="1"/>
  <c r="E62" i="1" s="1"/>
  <c r="J72" i="1"/>
  <c r="Q105" i="1"/>
  <c r="D110" i="1"/>
  <c r="E110" i="1" s="1"/>
  <c r="K150" i="1"/>
  <c r="F135" i="1"/>
  <c r="D135" i="1" s="1"/>
  <c r="E135" i="1" s="1"/>
  <c r="D69" i="1"/>
  <c r="E69" i="1" s="1"/>
  <c r="E188" i="1"/>
  <c r="H88" i="1"/>
  <c r="D88" i="1" s="1"/>
  <c r="E2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Jessica E. Withers</author>
    <author>tc={7C15701B-9A17-4FF3-B743-8307394DEAA6}</author>
    <author>Gina A. Giambattista</author>
  </authors>
  <commentList>
    <comment ref="F17" authorId="0" shapeId="0" xr:uid="{28CA9360-020A-488E-8EA6-882227F14489}">
      <text>
        <r>
          <rPr>
            <b/>
            <sz val="9"/>
            <color indexed="81"/>
            <rFont val="Tahoma"/>
            <family val="2"/>
          </rPr>
          <t>Jessica E. Withers:</t>
        </r>
        <r>
          <rPr>
            <sz val="9"/>
            <color indexed="81"/>
            <rFont val="Tahoma"/>
            <family val="2"/>
          </rPr>
          <t xml:space="preserve">
303.07 (food for retreat) + 19.93 (paper products for retreat)</t>
        </r>
      </text>
    </comment>
    <comment ref="G17" authorId="0" shapeId="0" xr:uid="{A270326A-F578-48F4-9752-880BA65D713F}">
      <text>
        <r>
          <rPr>
            <b/>
            <sz val="9"/>
            <color indexed="81"/>
            <rFont val="Tahoma"/>
            <family val="2"/>
          </rPr>
          <t>Jessica E. Withers:</t>
        </r>
        <r>
          <rPr>
            <sz val="9"/>
            <color indexed="81"/>
            <rFont val="Tahoma"/>
            <family val="2"/>
          </rPr>
          <t xml:space="preserve">
121.49 (food for retreat)</t>
        </r>
      </text>
    </comment>
    <comment ref="G24" authorId="0" shapeId="0" xr:uid="{3523950E-B0DC-4046-932B-026A2557F185}">
      <text>
        <r>
          <rPr>
            <b/>
            <sz val="9"/>
            <color indexed="81"/>
            <rFont val="Tahoma"/>
            <family val="2"/>
          </rPr>
          <t>Jessica E. Withers:</t>
        </r>
        <r>
          <rPr>
            <sz val="9"/>
            <color indexed="81"/>
            <rFont val="Tahoma"/>
            <family val="2"/>
          </rPr>
          <t xml:space="preserve">
83.16 (ASII plaque) + 623 (ASII catering)</t>
        </r>
      </text>
    </comment>
    <comment ref="F25" authorId="0" shapeId="0" xr:uid="{F57773BE-56D4-4904-8559-EE5966B65A1D}">
      <text>
        <r>
          <rPr>
            <b/>
            <sz val="9"/>
            <color indexed="81"/>
            <rFont val="Tahoma"/>
            <family val="2"/>
          </rPr>
          <t>Jessica E. Withers:</t>
        </r>
        <r>
          <rPr>
            <sz val="9"/>
            <color indexed="81"/>
            <rFont val="Tahoma"/>
            <family val="2"/>
          </rPr>
          <t xml:space="preserve">
125 (live captioning for 23/24 PATS)</t>
        </r>
      </text>
    </comment>
    <comment ref="G32" authorId="0" shapeId="0" xr:uid="{39B67A1D-111F-48D3-986C-0A4BB709222C}">
      <text>
        <r>
          <rPr>
            <b/>
            <sz val="9"/>
            <color indexed="81"/>
            <rFont val="Tahoma"/>
            <charset val="1"/>
          </rPr>
          <t>Jessica E. Withers:</t>
        </r>
        <r>
          <rPr>
            <sz val="9"/>
            <color indexed="81"/>
            <rFont val="Tahoma"/>
            <charset val="1"/>
          </rPr>
          <t xml:space="preserve">
151.53 catering</t>
        </r>
      </text>
    </comment>
    <comment ref="L32" authorId="0" shapeId="0" xr:uid="{161F5817-E053-40AD-A5CB-874096265FFD}">
      <text>
        <r>
          <rPr>
            <b/>
            <sz val="9"/>
            <color indexed="81"/>
            <rFont val="Tahoma"/>
            <family val="2"/>
          </rPr>
          <t>Jessica E. Withers:</t>
        </r>
        <r>
          <rPr>
            <sz val="9"/>
            <color indexed="81"/>
            <rFont val="Tahoma"/>
            <family val="2"/>
          </rPr>
          <t xml:space="preserve">
102.04 gavel</t>
        </r>
      </text>
    </comment>
    <comment ref="I34" authorId="0" shapeId="0" xr:uid="{C218D076-EFB8-4986-BA35-8A40160EE2F9}">
      <text>
        <r>
          <rPr>
            <b/>
            <sz val="9"/>
            <color indexed="81"/>
            <rFont val="Tahoma"/>
            <charset val="1"/>
          </rPr>
          <t>Jessica E. Withers:</t>
        </r>
        <r>
          <rPr>
            <sz val="9"/>
            <color indexed="81"/>
            <rFont val="Tahoma"/>
            <charset val="1"/>
          </rPr>
          <t xml:space="preserve">
89.64 Sticker Mule</t>
        </r>
      </text>
    </comment>
    <comment ref="P34" authorId="0" shapeId="0" xr:uid="{87E1D238-7958-4179-85FE-A2469BC7117C}">
      <text>
        <r>
          <rPr>
            <b/>
            <sz val="9"/>
            <color indexed="81"/>
            <rFont val="Tahoma"/>
            <charset val="1"/>
          </rPr>
          <t>Jessica E. Withers:</t>
        </r>
        <r>
          <rPr>
            <sz val="9"/>
            <color indexed="81"/>
            <rFont val="Tahoma"/>
            <charset val="1"/>
          </rPr>
          <t xml:space="preserve">
496.35 (USB buddies)</t>
        </r>
      </text>
    </comment>
    <comment ref="Q35" authorId="0" shapeId="0" xr:uid="{EDA0ED1D-4D3F-4BF7-B706-919FE770726A}">
      <text>
        <r>
          <rPr>
            <b/>
            <sz val="9"/>
            <color indexed="81"/>
            <rFont val="Tahoma"/>
            <family val="2"/>
          </rPr>
          <t>Jessica E. Withers:</t>
        </r>
        <r>
          <rPr>
            <sz val="9"/>
            <color indexed="81"/>
            <rFont val="Tahoma"/>
            <family val="2"/>
          </rPr>
          <t xml:space="preserve">
403 (Statler)</t>
        </r>
      </text>
    </comment>
    <comment ref="P36" authorId="0" shapeId="0" xr:uid="{E3409424-91BB-493D-BA30-DF30EBEC87AC}">
      <text>
        <r>
          <rPr>
            <b/>
            <sz val="9"/>
            <color indexed="81"/>
            <rFont val="Tahoma"/>
            <charset val="1"/>
          </rPr>
          <t>Jessica E. Withers:</t>
        </r>
        <r>
          <rPr>
            <sz val="9"/>
            <color indexed="81"/>
            <rFont val="Tahoma"/>
            <charset val="1"/>
          </rPr>
          <t xml:space="preserve">
800 (Opavote)</t>
        </r>
      </text>
    </comment>
    <comment ref="L39" authorId="0" shapeId="0" xr:uid="{C611C110-6757-45F0-AB82-86773C5BA163}">
      <text>
        <r>
          <rPr>
            <b/>
            <sz val="9"/>
            <color indexed="81"/>
            <rFont val="Tahoma"/>
            <family val="2"/>
          </rPr>
          <t>Jessica E. Withers:</t>
        </r>
        <r>
          <rPr>
            <sz val="9"/>
            <color indexed="81"/>
            <rFont val="Tahoma"/>
            <family val="2"/>
          </rPr>
          <t xml:space="preserve">
92.52 GPA trophy</t>
        </r>
      </text>
    </comment>
    <comment ref="M39" authorId="0" shapeId="0" xr:uid="{50A27BA7-019F-4CE4-81E1-EC06536BAE1A}">
      <text>
        <r>
          <rPr>
            <b/>
            <sz val="9"/>
            <color indexed="81"/>
            <rFont val="Tahoma"/>
            <charset val="1"/>
          </rPr>
          <t>Jessica E. Withers:</t>
        </r>
        <r>
          <rPr>
            <sz val="9"/>
            <color indexed="81"/>
            <rFont val="Tahoma"/>
            <charset val="1"/>
          </rPr>
          <t xml:space="preserve">
582.85 (catering) + 72 (room rental)</t>
        </r>
      </text>
    </comment>
    <comment ref="K40" authorId="0" shapeId="0" xr:uid="{71A3F2C0-9134-4876-96C8-C92E75AAE010}">
      <text>
        <r>
          <rPr>
            <b/>
            <sz val="9"/>
            <color indexed="81"/>
            <rFont val="Tahoma"/>
            <family val="2"/>
          </rPr>
          <t>Jessica E. Withers:</t>
        </r>
        <r>
          <rPr>
            <sz val="9"/>
            <color indexed="81"/>
            <rFont val="Tahoma"/>
            <family val="2"/>
          </rPr>
          <t xml:space="preserve">
79.90 (snacks) + 79.90 snacks)</t>
        </r>
      </text>
    </comment>
    <comment ref="L40" authorId="0" shapeId="0" xr:uid="{336FC414-24B5-4C63-B599-50A3331F7F61}">
      <text>
        <r>
          <rPr>
            <b/>
            <sz val="9"/>
            <color indexed="81"/>
            <rFont val="Tahoma"/>
            <family val="2"/>
          </rPr>
          <t>Jessica E. Withers:</t>
        </r>
        <r>
          <rPr>
            <sz val="9"/>
            <color indexed="81"/>
            <rFont val="Tahoma"/>
            <family val="2"/>
          </rPr>
          <t xml:space="preserve">
1080 (CIT) + 45.90 (snacks for Cornell Tech) + 16.62 (snacks) + 76.93 (snacks)</t>
        </r>
      </text>
    </comment>
    <comment ref="M40" authorId="0" shapeId="0" xr:uid="{8EF9018B-4534-41B7-88CE-8BDB16991BCC}">
      <text>
        <r>
          <rPr>
            <b/>
            <sz val="9"/>
            <color indexed="81"/>
            <rFont val="Tahoma"/>
            <charset val="1"/>
          </rPr>
          <t>Jessica E. Withers:</t>
        </r>
        <r>
          <rPr>
            <sz val="9"/>
            <color indexed="81"/>
            <rFont val="Tahoma"/>
            <charset val="1"/>
          </rPr>
          <t xml:space="preserve">
142 (room rental)</t>
        </r>
      </text>
    </comment>
    <comment ref="F47" authorId="0" shapeId="0" xr:uid="{1C7D4CB8-6E06-4AC2-B64E-83936BF128E3}">
      <text>
        <r>
          <rPr>
            <b/>
            <sz val="9"/>
            <color indexed="81"/>
            <rFont val="Tahoma"/>
            <charset val="1"/>
          </rPr>
          <t>Jessica E. Withers:</t>
        </r>
        <r>
          <rPr>
            <sz val="9"/>
            <color indexed="81"/>
            <rFont val="Tahoma"/>
            <charset val="1"/>
          </rPr>
          <t xml:space="preserve">
35 x 3 room rentals</t>
        </r>
      </text>
    </comment>
    <comment ref="H47" authorId="0" shapeId="0" xr:uid="{EEF47DE9-ECDF-4786-AC7A-4415595ADA3A}">
      <text>
        <r>
          <rPr>
            <b/>
            <sz val="9"/>
            <color indexed="81"/>
            <rFont val="Tahoma"/>
            <charset val="1"/>
          </rPr>
          <t>Jessica E. Withers:</t>
        </r>
        <r>
          <rPr>
            <sz val="9"/>
            <color indexed="81"/>
            <rFont val="Tahoma"/>
            <charset val="1"/>
          </rPr>
          <t xml:space="preserve">
259.40 meeting catering
187.25 meeting catering</t>
        </r>
      </text>
    </comment>
    <comment ref="I47" authorId="0" shapeId="0" xr:uid="{534642A4-D910-4B71-B73F-C28731DBA9CF}">
      <text>
        <r>
          <rPr>
            <b/>
            <sz val="9"/>
            <color indexed="81"/>
            <rFont val="Tahoma"/>
            <charset val="1"/>
          </rPr>
          <t>Jessica E. Withers:</t>
        </r>
        <r>
          <rPr>
            <sz val="9"/>
            <color indexed="81"/>
            <rFont val="Tahoma"/>
            <charset val="1"/>
          </rPr>
          <t xml:space="preserve">
202.20 meeting catering</t>
        </r>
      </text>
    </comment>
    <comment ref="J47" authorId="0" shapeId="0" xr:uid="{41331A4B-2E9B-4699-8478-F53505A54C73}">
      <text>
        <r>
          <rPr>
            <b/>
            <sz val="9"/>
            <color indexed="81"/>
            <rFont val="Tahoma"/>
            <charset val="1"/>
          </rPr>
          <t>Jessica E. Withers:</t>
        </r>
        <r>
          <rPr>
            <sz val="9"/>
            <color indexed="81"/>
            <rFont val="Tahoma"/>
            <charset val="1"/>
          </rPr>
          <t xml:space="preserve">
710 Statler breakfast with C Lovely
148.20 meeting catering
129.20 meeting catering</t>
        </r>
      </text>
    </comment>
    <comment ref="K47" authorId="0" shapeId="0" xr:uid="{497E01F3-8ED3-4E71-B673-DEBEF6A220F6}">
      <text>
        <r>
          <rPr>
            <b/>
            <sz val="9"/>
            <color indexed="81"/>
            <rFont val="Tahoma"/>
            <charset val="1"/>
          </rPr>
          <t>Jessica E. Withers:</t>
        </r>
        <r>
          <rPr>
            <sz val="9"/>
            <color indexed="81"/>
            <rFont val="Tahoma"/>
            <charset val="1"/>
          </rPr>
          <t xml:space="preserve">
339 catering for retreat
187.45 meeting catering
199 catering for retreat</t>
        </r>
      </text>
    </comment>
    <comment ref="M47" authorId="0" shapeId="0" xr:uid="{2A6EB302-CC4A-49A6-8EC7-CD4E3AA6EC53}">
      <text>
        <r>
          <rPr>
            <b/>
            <sz val="9"/>
            <color indexed="81"/>
            <rFont val="Tahoma"/>
            <charset val="1"/>
          </rPr>
          <t>Jessica E. Withers:</t>
        </r>
        <r>
          <rPr>
            <sz val="9"/>
            <color indexed="81"/>
            <rFont val="Tahoma"/>
            <charset val="1"/>
          </rPr>
          <t xml:space="preserve">
160.45 meeting catering
7.84 water for president visit</t>
        </r>
      </text>
    </comment>
    <comment ref="N48" authorId="0" shapeId="0" xr:uid="{BA638B26-DE31-4DFA-B88C-860A3F148C13}">
      <text>
        <r>
          <rPr>
            <b/>
            <sz val="9"/>
            <color indexed="81"/>
            <rFont val="Tahoma"/>
            <charset val="1"/>
          </rPr>
          <t>Jessica E. Withers:</t>
        </r>
        <r>
          <rPr>
            <sz val="9"/>
            <color indexed="81"/>
            <rFont val="Tahoma"/>
            <charset val="1"/>
          </rPr>
          <t xml:space="preserve">
35 room rental Oct 2022</t>
        </r>
      </text>
    </comment>
    <comment ref="P48" authorId="0" shapeId="0" xr:uid="{439122C2-5394-43CC-BAC2-BCC5B2F13D9A}">
      <text>
        <r>
          <rPr>
            <b/>
            <sz val="9"/>
            <color indexed="81"/>
            <rFont val="Tahoma"/>
            <charset val="1"/>
          </rPr>
          <t>Jessica E. Withers:</t>
        </r>
        <r>
          <rPr>
            <sz val="9"/>
            <color indexed="81"/>
            <rFont val="Tahoma"/>
            <charset val="1"/>
          </rPr>
          <t xml:space="preserve">
Nov room rentals</t>
        </r>
      </text>
    </comment>
    <comment ref="Q48" authorId="0" shapeId="0" xr:uid="{0BED1246-162C-425A-A653-7D725ECF4496}">
      <text>
        <r>
          <rPr>
            <b/>
            <sz val="9"/>
            <color indexed="81"/>
            <rFont val="Tahoma"/>
            <charset val="1"/>
          </rPr>
          <t>Jessica E. Withers:</t>
        </r>
        <r>
          <rPr>
            <sz val="9"/>
            <color indexed="81"/>
            <rFont val="Tahoma"/>
            <charset val="1"/>
          </rPr>
          <t xml:space="preserve">
Dec, Feb, Mar room rentals ($35 each)
273.46 Supron, social event</t>
        </r>
      </text>
    </comment>
    <comment ref="F54" authorId="0" shapeId="0" xr:uid="{0FA29EAF-F42E-4338-AF1C-C0A6ACC5E48F}">
      <text>
        <r>
          <rPr>
            <b/>
            <sz val="9"/>
            <color indexed="81"/>
            <rFont val="Tahoma"/>
            <charset val="1"/>
          </rPr>
          <t>Jessica E. Withers:</t>
        </r>
        <r>
          <rPr>
            <sz val="9"/>
            <color indexed="81"/>
            <rFont val="Tahoma"/>
            <charset val="1"/>
          </rPr>
          <t xml:space="preserve">
676.10 catering for award ceremony
35.90 Bernards custom logo</t>
        </r>
      </text>
    </comment>
    <comment ref="G54" authorId="0" shapeId="0" xr:uid="{0F0D8382-9F34-404E-883B-7E59FAEAFE85}">
      <text>
        <r>
          <rPr>
            <b/>
            <sz val="9"/>
            <color indexed="81"/>
            <rFont val="Tahoma"/>
            <charset val="1"/>
          </rPr>
          <t>Jessica E. Withers:</t>
        </r>
        <r>
          <rPr>
            <sz val="9"/>
            <color indexed="81"/>
            <rFont val="Tahoma"/>
            <charset val="1"/>
          </rPr>
          <t xml:space="preserve">
118 room rental for award ceremony</t>
        </r>
      </text>
    </comment>
    <comment ref="J54" authorId="0" shapeId="0" xr:uid="{9A241CE8-986A-40F5-AAEF-2091C5859638}">
      <text>
        <r>
          <rPr>
            <b/>
            <sz val="9"/>
            <color indexed="81"/>
            <rFont val="Tahoma"/>
            <charset val="1"/>
          </rPr>
          <t>Jessica E. Withers:</t>
        </r>
        <r>
          <rPr>
            <sz val="9"/>
            <color indexed="81"/>
            <rFont val="Tahoma"/>
            <charset val="1"/>
          </rPr>
          <t xml:space="preserve">
50 campus store gift card
44.10 Bernards custom logo</t>
        </r>
      </text>
    </comment>
    <comment ref="P54" authorId="0" shapeId="0" xr:uid="{FA95918E-8ED2-4A8B-A16F-5E285F7D9224}">
      <text>
        <r>
          <rPr>
            <b/>
            <sz val="9"/>
            <color indexed="81"/>
            <rFont val="Tahoma"/>
            <charset val="1"/>
          </rPr>
          <t>Jessica E. Withers:</t>
        </r>
        <r>
          <rPr>
            <sz val="9"/>
            <color indexed="81"/>
            <rFont val="Tahoma"/>
            <charset val="1"/>
          </rPr>
          <t xml:space="preserve">
502.91 Proforma plaques</t>
        </r>
      </text>
    </comment>
    <comment ref="Q54" authorId="0" shapeId="0" xr:uid="{BD2F68F2-038F-45D8-8BA4-EB1DBD025DFC}">
      <text>
        <r>
          <rPr>
            <b/>
            <sz val="9"/>
            <color indexed="81"/>
            <rFont val="Tahoma"/>
            <charset val="1"/>
          </rPr>
          <t>Jessica E. Withers:</t>
        </r>
        <r>
          <rPr>
            <sz val="9"/>
            <color indexed="81"/>
            <rFont val="Tahoma"/>
            <charset val="1"/>
          </rPr>
          <t xml:space="preserve">
35.90 Bernard's
83.16 Bernard's
143.95 Sweet Sensations</t>
        </r>
      </text>
    </comment>
    <comment ref="M55" authorId="0" shapeId="0" xr:uid="{51B26D13-66A8-4534-BA5F-08EEA90A1896}">
      <text>
        <r>
          <rPr>
            <b/>
            <sz val="9"/>
            <color indexed="81"/>
            <rFont val="Tahoma"/>
            <charset val="1"/>
          </rPr>
          <t>Jessica E. Withers:</t>
        </r>
        <r>
          <rPr>
            <sz val="9"/>
            <color indexed="81"/>
            <rFont val="Tahoma"/>
            <charset val="1"/>
          </rPr>
          <t xml:space="preserve">
960 IT support
63.57 Tops
172.70 Amazon</t>
        </r>
      </text>
    </comment>
    <comment ref="N55" authorId="0" shapeId="0" xr:uid="{F9AAE784-49D6-4DD7-B4BD-C4418AD89DD2}">
      <text>
        <r>
          <rPr>
            <b/>
            <sz val="9"/>
            <color indexed="81"/>
            <rFont val="Tahoma"/>
            <charset val="1"/>
          </rPr>
          <t>Jessica E. Withers:</t>
        </r>
        <r>
          <rPr>
            <sz val="9"/>
            <color indexed="81"/>
            <rFont val="Tahoma"/>
            <charset val="1"/>
          </rPr>
          <t xml:space="preserve">
128.75 20/20 cpatioing
136 room rental</t>
        </r>
      </text>
    </comment>
    <comment ref="G56" authorId="0" shapeId="0" xr:uid="{CBAD3957-E0A2-463D-B670-6AF8AC4E49D4}">
      <text>
        <r>
          <rPr>
            <b/>
            <sz val="9"/>
            <color indexed="81"/>
            <rFont val="Tahoma"/>
            <charset val="1"/>
          </rPr>
          <t>Jessica E. Withers:</t>
        </r>
        <r>
          <rPr>
            <sz val="9"/>
            <color indexed="81"/>
            <rFont val="Tahoma"/>
            <charset val="1"/>
          </rPr>
          <t xml:space="preserve">
960 CIT AV support for M Opperman forum</t>
        </r>
      </text>
    </comment>
    <comment ref="J56" authorId="0" shapeId="0" xr:uid="{EECFDA44-D525-4741-9D89-CE0916FB298E}">
      <text>
        <r>
          <rPr>
            <b/>
            <sz val="9"/>
            <color indexed="81"/>
            <rFont val="Tahoma"/>
            <charset val="1"/>
          </rPr>
          <t>Jessica E. Withers:</t>
        </r>
        <r>
          <rPr>
            <sz val="9"/>
            <color indexed="81"/>
            <rFont val="Tahoma"/>
            <charset val="1"/>
          </rPr>
          <t xml:space="preserve">
125 live captioing M Opperman forum</t>
        </r>
      </text>
    </comment>
    <comment ref="P56" authorId="0" shapeId="0" xr:uid="{1C9769CD-59C4-41A3-B4C8-2C8A9C3F010B}">
      <text>
        <r>
          <rPr>
            <b/>
            <sz val="9"/>
            <color indexed="81"/>
            <rFont val="Tahoma"/>
            <charset val="1"/>
          </rPr>
          <t>Jessica E. Withers:</t>
        </r>
        <r>
          <rPr>
            <sz val="9"/>
            <color indexed="81"/>
            <rFont val="Tahoma"/>
            <charset val="1"/>
          </rPr>
          <t xml:space="preserve">
275 CIT support - Lovely
171.88 captioning</t>
        </r>
      </text>
    </comment>
    <comment ref="K69" authorId="1" shapeId="0" xr:uid="{7C15701B-9A17-4FF3-B743-8307394DEAA6}">
      <text>
        <t>[Threaded comment]
Your version of Excel allows you to read this threaded comment; however, any edits to it will get removed if the file is opened in a newer version of Excel. Learn more: https://go.microsoft.com/fwlink/?linkid=870924
Comment:
    per EDoc# 39793546
“staff members at the Cornell COVID-19 Testing Laboratory (CCTL) at the College of Veterinary Medicine were recipients of the Employee Assembly Staff Appreciation Award at this year’s President’s Address to Staff (November 12). As recipients, they all receive 10 points in the Appreciation Portal; however, due to an error with the Awardco bulk messaging system, they all received an email that said they received 0 points.
In an effort to rectify the situation, Ashley Miller will be adding the budget feature to the EA account and I will be processing a transfer of $820 from the Employee Assembly Staff
Staff Recognition &amp; Awards subaccount (account G933702-20003) to the HR Awardco holding account U013605.</t>
      </text>
    </comment>
    <comment ref="Q110" authorId="2" shapeId="0" xr:uid="{106DFF66-CB51-49CA-B7B5-2B332862FACA}">
      <text>
        <r>
          <rPr>
            <b/>
            <sz val="10"/>
            <color rgb="FF000000"/>
            <rFont val="Tahoma"/>
            <family val="2"/>
          </rPr>
          <t>Gina A. Giambattista:</t>
        </r>
        <r>
          <rPr>
            <sz val="10"/>
            <color rgb="FF000000"/>
            <rFont val="Tahoma"/>
            <family val="2"/>
          </rPr>
          <t xml:space="preserve">
</t>
        </r>
        <r>
          <rPr>
            <sz val="10"/>
            <color rgb="FF000000"/>
            <rFont val="Tahoma"/>
            <family val="2"/>
          </rPr>
          <t>should be expensed to FY20 (first meeting of new assembly)</t>
        </r>
      </text>
    </comment>
    <comment ref="F117" authorId="2" shapeId="0" xr:uid="{4FA76B7C-F9E6-4FF5-819A-38F7AB9B7068}">
      <text>
        <r>
          <rPr>
            <b/>
            <sz val="10"/>
            <color rgb="FF000000"/>
            <rFont val="Tahoma"/>
            <family val="2"/>
          </rPr>
          <t>Gina A. Giambattista:</t>
        </r>
        <r>
          <rPr>
            <sz val="10"/>
            <color rgb="FF000000"/>
            <rFont val="Tahoma"/>
            <family val="2"/>
          </rPr>
          <t xml:space="preserve">
</t>
        </r>
        <r>
          <rPr>
            <sz val="10"/>
            <color rgb="FF000000"/>
            <rFont val="Tahoma"/>
            <family val="2"/>
          </rPr>
          <t>to be charged to prior year</t>
        </r>
      </text>
    </comment>
    <comment ref="I127" authorId="2" shapeId="0" xr:uid="{A8F367E8-5824-4572-97CA-9A77018D7C32}">
      <text>
        <r>
          <rPr>
            <b/>
            <sz val="10"/>
            <color rgb="FF000000"/>
            <rFont val="Tahoma"/>
            <family val="2"/>
          </rPr>
          <t>Gina A. Giambattista:</t>
        </r>
        <r>
          <rPr>
            <sz val="10"/>
            <color rgb="FF000000"/>
            <rFont val="Tahoma"/>
            <family val="2"/>
          </rPr>
          <t xml:space="preserve">
</t>
        </r>
        <r>
          <rPr>
            <sz val="10"/>
            <color rgb="FF000000"/>
            <rFont val="Tahoma"/>
            <family val="2"/>
          </rPr>
          <t xml:space="preserve">For cubes and EA shirts/"charged" to last FY budget
</t>
        </r>
      </text>
    </comment>
    <comment ref="G128" authorId="2" shapeId="0" xr:uid="{D3896A8A-C02F-4EF8-A17C-2C633E49EDC3}">
      <text>
        <r>
          <rPr>
            <b/>
            <sz val="10"/>
            <color rgb="FF000000"/>
            <rFont val="Calibri"/>
            <family val="2"/>
          </rPr>
          <t>Gina A. Giambattista:</t>
        </r>
        <r>
          <rPr>
            <sz val="10"/>
            <color rgb="FF000000"/>
            <rFont val="Calibri"/>
            <family val="2"/>
          </rPr>
          <t xml:space="preserve">
</t>
        </r>
        <r>
          <rPr>
            <sz val="10"/>
            <color rgb="FF000000"/>
            <rFont val="Calibri"/>
            <family val="2"/>
          </rPr>
          <t>food for summer retreat</t>
        </r>
      </text>
    </comment>
    <comment ref="Q142" authorId="2" shapeId="0" xr:uid="{ADA5DA1F-329F-4C93-AEC1-ED273F8A1EBC}">
      <text>
        <r>
          <rPr>
            <b/>
            <sz val="10"/>
            <color indexed="81"/>
            <rFont val="Calibri"/>
            <family val="2"/>
          </rPr>
          <t>Gina A. Giambattista:</t>
        </r>
        <r>
          <rPr>
            <sz val="10"/>
            <color indexed="81"/>
            <rFont val="Calibri"/>
            <family val="2"/>
          </rPr>
          <t xml:space="preserve">
for shirts, cubes and name badges
billed in October of 2017 FY18
</t>
        </r>
      </text>
    </comment>
  </commentList>
</comments>
</file>

<file path=xl/sharedStrings.xml><?xml version="1.0" encoding="utf-8"?>
<sst xmlns="http://schemas.openxmlformats.org/spreadsheetml/2006/main" count="328" uniqueCount="70">
  <si>
    <t>FY 2025 Operating Budget</t>
  </si>
  <si>
    <t>Employee Assembly</t>
  </si>
  <si>
    <t>G933702</t>
  </si>
  <si>
    <t>FY 2024 Summary</t>
  </si>
  <si>
    <t>Total Income</t>
  </si>
  <si>
    <t>Total Expenses</t>
  </si>
  <si>
    <t>Income/Expense</t>
  </si>
  <si>
    <t>Income Categories</t>
  </si>
  <si>
    <t>Transfer from University Relations</t>
  </si>
  <si>
    <t>Other</t>
  </si>
  <si>
    <t>TOTAL Income</t>
  </si>
  <si>
    <t>FY 2025</t>
  </si>
  <si>
    <t>Expense Categories</t>
  </si>
  <si>
    <t>2024-2025 Budget</t>
  </si>
  <si>
    <t>YTD  Expense</t>
  </si>
  <si>
    <t>Balance</t>
  </si>
  <si>
    <t>July</t>
  </si>
  <si>
    <t>August</t>
  </si>
  <si>
    <t>September</t>
  </si>
  <si>
    <t>October</t>
  </si>
  <si>
    <t>November</t>
  </si>
  <si>
    <t>December</t>
  </si>
  <si>
    <t>January</t>
  </si>
  <si>
    <t>February</t>
  </si>
  <si>
    <t>March</t>
  </si>
  <si>
    <t>April</t>
  </si>
  <si>
    <t>May</t>
  </si>
  <si>
    <t>June</t>
  </si>
  <si>
    <t>Administrative (food for mtgs)</t>
  </si>
  <si>
    <t>Executive (space rental fees; copy/print charges)</t>
  </si>
  <si>
    <t>Communications</t>
  </si>
  <si>
    <t>Internal Operations</t>
  </si>
  <si>
    <t>Elections</t>
  </si>
  <si>
    <t>Benefits &amp; Policy Committee</t>
  </si>
  <si>
    <t>Education Committee</t>
  </si>
  <si>
    <t>Staff Recognition and Awards</t>
  </si>
  <si>
    <t>President's Address to Staff</t>
  </si>
  <si>
    <t>EA Staff Forums Support</t>
  </si>
  <si>
    <t>TOTAL  Expenses</t>
  </si>
  <si>
    <t>FY 2024</t>
  </si>
  <si>
    <t>2023-2024 Budget</t>
  </si>
  <si>
    <t>FY 2023</t>
  </si>
  <si>
    <t>2022-2023 Budget</t>
  </si>
  <si>
    <t>FY 2022</t>
  </si>
  <si>
    <t>2021-2022 Budget</t>
  </si>
  <si>
    <t>FY 2021</t>
  </si>
  <si>
    <t>2020-2021 Budget</t>
  </si>
  <si>
    <t>Personnel Policy</t>
  </si>
  <si>
    <t>Education</t>
  </si>
  <si>
    <t>CARE Fund</t>
  </si>
  <si>
    <t>FY 2020</t>
  </si>
  <si>
    <t>2019-20 Budget</t>
  </si>
  <si>
    <t>FY 2019</t>
  </si>
  <si>
    <t>2018-19 Budget</t>
  </si>
  <si>
    <t>FY 2018</t>
  </si>
  <si>
    <t>2017-2018 Budget</t>
  </si>
  <si>
    <t>FY 2017</t>
  </si>
  <si>
    <t>2016-17 Budget</t>
  </si>
  <si>
    <t>Executive</t>
  </si>
  <si>
    <t>2015-2016</t>
  </si>
  <si>
    <t>2015-16 Budget</t>
  </si>
  <si>
    <t>2014-2015</t>
  </si>
  <si>
    <t>2014-15 Budget</t>
  </si>
  <si>
    <t>Administrative</t>
  </si>
  <si>
    <t>food expenses</t>
  </si>
  <si>
    <t>2014-15</t>
  </si>
  <si>
    <t>2013-14</t>
  </si>
  <si>
    <t>2013-2014</t>
  </si>
  <si>
    <t>2013-14 Budget</t>
  </si>
  <si>
    <t>2013-14 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</si>
</sst>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44" formatCode="_(&quot;$&quot;* #,##0.00_);_(&quot;$&quot;* \(#,##0.00\);_(&quot;$&quot;* &quot;-&quot;??_);_(@_)"/>
    <numFmt numFmtId="164" formatCode="#,##0.00;[Red]#,##0.00"/>
    <numFmt numFmtId="165" formatCode="&quot;$&quot;#,##0.00;[Red]&quot;$&quot;#,##0.00"/>
    <numFmt numFmtId="166" formatCode="&quot;$&quot;#,##0.00"/>
    <numFmt numFmtId="167" formatCode="&quot;$&quot;#,##0.00;[Red]\-&quot;$&quot;#,##0.00"/>
  </numFmts>
  <fonts count="26" x14ac:knownFonts="1">
    <font>
      <sz val="11"/>
      <color theme="1"/>
      <name val="Aptos Narrow"/>
      <family val="2"/>
      <scheme val="minor"/>
    </font>
    <font>
      <sz val="11"/>
      <color theme="1"/>
      <name val="Aptos Narrow"/>
      <family val="2"/>
      <scheme val="minor"/>
    </font>
    <font>
      <b/>
      <sz val="10"/>
      <color theme="1"/>
      <name val="Aptos Narrow"/>
      <family val="2"/>
      <scheme val="minor"/>
    </font>
    <font>
      <sz val="10"/>
      <color theme="1"/>
      <name val="Aptos Narrow"/>
      <family val="2"/>
      <scheme val="minor"/>
    </font>
    <font>
      <sz val="10"/>
      <name val="Aptos Narrow"/>
      <family val="2"/>
      <scheme val="minor"/>
    </font>
    <font>
      <b/>
      <sz val="10"/>
      <color rgb="FF000000"/>
      <name val="Aptos Narrow"/>
      <family val="2"/>
      <scheme val="minor"/>
    </font>
    <font>
      <sz val="10"/>
      <color rgb="FF000000"/>
      <name val="Aptos Narrow"/>
      <family val="2"/>
      <scheme val="minor"/>
    </font>
    <font>
      <b/>
      <sz val="10"/>
      <name val="Aptos Narrow"/>
      <family val="2"/>
      <scheme val="minor"/>
    </font>
    <font>
      <sz val="10"/>
      <name val="Arial"/>
      <family val="2"/>
    </font>
    <font>
      <b/>
      <sz val="10"/>
      <color indexed="8"/>
      <name val="Aptos Narrow"/>
      <family val="2"/>
      <scheme val="minor"/>
    </font>
    <font>
      <sz val="10"/>
      <color indexed="8"/>
      <name val="Aptos Narrow"/>
      <family val="2"/>
      <scheme val="minor"/>
    </font>
    <font>
      <i/>
      <sz val="10"/>
      <name val="Aptos Narrow"/>
      <family val="2"/>
      <scheme val="minor"/>
    </font>
    <font>
      <b/>
      <i/>
      <sz val="10"/>
      <name val="Aptos Narrow"/>
      <family val="2"/>
      <scheme val="minor"/>
    </font>
    <font>
      <i/>
      <sz val="10"/>
      <color theme="1"/>
      <name val="Aptos Narrow"/>
      <family val="2"/>
      <scheme val="minor"/>
    </font>
    <font>
      <b/>
      <i/>
      <sz val="10"/>
      <color theme="1"/>
      <name val="Aptos Narrow"/>
      <family val="2"/>
      <scheme val="minor"/>
    </font>
    <font>
      <b/>
      <i/>
      <sz val="10"/>
      <color indexed="8"/>
      <name val="Aptos Narrow"/>
      <family val="2"/>
      <scheme val="minor"/>
    </font>
    <font>
      <b/>
      <sz val="9"/>
      <color indexed="81"/>
      <name val="Tahoma"/>
      <family val="2"/>
    </font>
    <font>
      <sz val="9"/>
      <color indexed="81"/>
      <name val="Tahoma"/>
      <family val="2"/>
    </font>
    <font>
      <b/>
      <sz val="9"/>
      <color indexed="81"/>
      <name val="Tahoma"/>
      <charset val="1"/>
    </font>
    <font>
      <sz val="9"/>
      <color indexed="81"/>
      <name val="Tahoma"/>
      <charset val="1"/>
    </font>
    <font>
      <b/>
      <sz val="10"/>
      <color rgb="FF000000"/>
      <name val="Tahoma"/>
      <family val="2"/>
    </font>
    <font>
      <sz val="10"/>
      <color rgb="FF000000"/>
      <name val="Tahoma"/>
      <family val="2"/>
    </font>
    <font>
      <b/>
      <sz val="10"/>
      <color rgb="FF000000"/>
      <name val="Calibri"/>
      <family val="2"/>
    </font>
    <font>
      <sz val="10"/>
      <color rgb="FF000000"/>
      <name val="Calibri"/>
      <family val="2"/>
    </font>
    <font>
      <b/>
      <sz val="10"/>
      <color indexed="81"/>
      <name val="Calibri"/>
      <family val="2"/>
    </font>
    <font>
      <sz val="10"/>
      <color indexed="81"/>
      <name val="Calibri"/>
      <family val="2"/>
    </font>
  </fonts>
  <fills count="6">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FFF00"/>
        <bgColor indexed="64"/>
      </patternFill>
    </fill>
  </fills>
  <borders count="22">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ck">
        <color auto="1"/>
      </left>
      <right style="thick">
        <color auto="1"/>
      </right>
      <top/>
      <bottom style="thin">
        <color auto="1"/>
      </bottom>
      <diagonal/>
    </border>
    <border>
      <left style="thick">
        <color auto="1"/>
      </left>
      <right style="thick">
        <color auto="1"/>
      </right>
      <top style="thin">
        <color auto="1"/>
      </top>
      <bottom/>
      <diagonal/>
    </border>
    <border>
      <left style="thick">
        <color auto="1"/>
      </left>
      <right style="thick">
        <color auto="1"/>
      </right>
      <top/>
      <bottom/>
      <diagonal/>
    </border>
    <border>
      <left style="double">
        <color auto="1"/>
      </left>
      <right/>
      <top/>
      <bottom style="thin">
        <color auto="1"/>
      </bottom>
      <diagonal/>
    </border>
    <border>
      <left style="double">
        <color auto="1"/>
      </left>
      <right/>
      <top/>
      <bottom/>
      <diagonal/>
    </border>
    <border>
      <left/>
      <right/>
      <top style="thin">
        <color auto="1"/>
      </top>
      <bottom/>
      <diagonal/>
    </border>
    <border>
      <left style="thick">
        <color auto="1"/>
      </left>
      <right/>
      <top style="thin">
        <color auto="1"/>
      </top>
      <bottom/>
      <diagonal/>
    </border>
    <border>
      <left/>
      <right style="thick">
        <color auto="1"/>
      </right>
      <top/>
      <bottom/>
      <diagonal/>
    </border>
    <border>
      <left style="thick">
        <color auto="1"/>
      </left>
      <right/>
      <top/>
      <bottom/>
      <diagonal/>
    </border>
    <border>
      <left style="thick">
        <color auto="1"/>
      </left>
      <right/>
      <top/>
      <bottom style="thin">
        <color auto="1"/>
      </bottom>
      <diagonal/>
    </border>
    <border>
      <left/>
      <right style="thick">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ck">
        <color auto="1"/>
      </right>
      <top style="thin">
        <color auto="1"/>
      </top>
      <bottom/>
      <diagonal/>
    </border>
  </borders>
  <cellStyleXfs count="3">
    <xf numFmtId="0" fontId="0" fillId="0" borderId="0"/>
    <xf numFmtId="44" fontId="1" fillId="0" borderId="0" applyFont="0" applyFill="0" applyBorder="0" applyAlignment="0" applyProtection="0"/>
    <xf numFmtId="0" fontId="8" fillId="0" borderId="0">
      <alignment vertical="center"/>
    </xf>
  </cellStyleXfs>
  <cellXfs count="124">
    <xf numFmtId="0" fontId="0" fillId="0" borderId="0" xfId="0"/>
    <xf numFmtId="164" fontId="2" fillId="2" borderId="0" xfId="0" applyNumberFormat="1" applyFont="1" applyFill="1" applyAlignment="1">
      <alignment horizontal="left"/>
    </xf>
    <xf numFmtId="0" fontId="3" fillId="2" borderId="0" xfId="0" applyFont="1" applyFill="1"/>
    <xf numFmtId="164" fontId="2" fillId="0" borderId="0" xfId="0" applyNumberFormat="1" applyFont="1" applyAlignment="1">
      <alignment horizontal="left"/>
    </xf>
    <xf numFmtId="0" fontId="3" fillId="0" borderId="0" xfId="0" applyFont="1"/>
    <xf numFmtId="0" fontId="2" fillId="2" borderId="0" xfId="0" applyFont="1" applyFill="1"/>
    <xf numFmtId="0" fontId="4" fillId="0" borderId="0" xfId="0" applyFont="1"/>
    <xf numFmtId="0" fontId="3" fillId="0" borderId="0" xfId="0" applyFont="1" applyAlignment="1">
      <alignment horizontal="left"/>
    </xf>
    <xf numFmtId="0" fontId="2" fillId="0" borderId="0" xfId="0" applyFont="1"/>
    <xf numFmtId="165" fontId="3" fillId="0" borderId="0" xfId="0" applyNumberFormat="1" applyFont="1"/>
    <xf numFmtId="0" fontId="5" fillId="3" borderId="0" xfId="0" applyFont="1" applyFill="1"/>
    <xf numFmtId="0" fontId="4" fillId="3" borderId="0" xfId="0" applyFont="1" applyFill="1"/>
    <xf numFmtId="0" fontId="6" fillId="3" borderId="0" xfId="0" applyFont="1" applyFill="1"/>
    <xf numFmtId="165" fontId="4" fillId="3" borderId="0" xfId="0" applyNumberFormat="1" applyFont="1" applyFill="1"/>
    <xf numFmtId="166" fontId="4" fillId="3" borderId="0" xfId="0" applyNumberFormat="1" applyFont="1" applyFill="1"/>
    <xf numFmtId="0" fontId="5" fillId="3" borderId="1" xfId="0" applyFont="1" applyFill="1" applyBorder="1"/>
    <xf numFmtId="166" fontId="7" fillId="3" borderId="2" xfId="0" applyNumberFormat="1" applyFont="1" applyFill="1" applyBorder="1"/>
    <xf numFmtId="165" fontId="9" fillId="0" borderId="0" xfId="2" applyNumberFormat="1" applyFont="1" applyAlignment="1">
      <alignment horizontal="center" wrapText="1"/>
    </xf>
    <xf numFmtId="164" fontId="10" fillId="0" borderId="0" xfId="2" applyNumberFormat="1" applyFont="1" applyAlignment="1">
      <alignment horizontal="left"/>
    </xf>
    <xf numFmtId="165" fontId="10" fillId="0" borderId="0" xfId="2" applyNumberFormat="1" applyFont="1" applyAlignment="1">
      <alignment horizontal="right"/>
    </xf>
    <xf numFmtId="0" fontId="3" fillId="0" borderId="3" xfId="0" applyFont="1" applyBorder="1"/>
    <xf numFmtId="166" fontId="3" fillId="0" borderId="3" xfId="0" applyNumberFormat="1" applyFont="1" applyBorder="1"/>
    <xf numFmtId="165" fontId="11" fillId="0" borderId="0" xfId="2" applyNumberFormat="1" applyFont="1" applyAlignment="1">
      <alignment horizontal="left" wrapText="1"/>
    </xf>
    <xf numFmtId="165" fontId="4" fillId="0" borderId="0" xfId="2" applyNumberFormat="1" applyFont="1" applyAlignment="1">
      <alignment wrapText="1"/>
    </xf>
    <xf numFmtId="164" fontId="2" fillId="0" borderId="0" xfId="0" applyNumberFormat="1" applyFont="1" applyAlignment="1">
      <alignment horizontal="right"/>
    </xf>
    <xf numFmtId="165" fontId="9" fillId="0" borderId="0" xfId="2" applyNumberFormat="1" applyFont="1" applyAlignment="1">
      <alignment horizontal="right"/>
    </xf>
    <xf numFmtId="165" fontId="12" fillId="0" borderId="0" xfId="2" applyNumberFormat="1" applyFont="1" applyAlignment="1">
      <alignment horizontal="left" vertical="center"/>
    </xf>
    <xf numFmtId="165" fontId="12" fillId="0" borderId="0" xfId="2" applyNumberFormat="1" applyFont="1" applyAlignment="1">
      <alignment horizontal="left" vertical="center" wrapText="1"/>
    </xf>
    <xf numFmtId="164" fontId="3" fillId="0" borderId="0" xfId="0" applyNumberFormat="1" applyFont="1"/>
    <xf numFmtId="165" fontId="4" fillId="0" borderId="0" xfId="0" applyNumberFormat="1" applyFont="1"/>
    <xf numFmtId="165" fontId="3" fillId="0" borderId="0" xfId="0" applyNumberFormat="1" applyFont="1" applyAlignment="1">
      <alignment horizontal="left"/>
    </xf>
    <xf numFmtId="165" fontId="2" fillId="0" borderId="0" xfId="0" applyNumberFormat="1" applyFont="1"/>
    <xf numFmtId="164" fontId="7" fillId="0" borderId="3" xfId="2" applyNumberFormat="1" applyFont="1" applyBorder="1" applyAlignment="1">
      <alignment wrapText="1"/>
    </xf>
    <xf numFmtId="165" fontId="9" fillId="3" borderId="4" xfId="2" applyNumberFormat="1" applyFont="1" applyFill="1" applyBorder="1" applyAlignment="1">
      <alignment horizontal="center" wrapText="1"/>
    </xf>
    <xf numFmtId="165" fontId="7" fillId="3" borderId="4" xfId="2" applyNumberFormat="1" applyFont="1" applyFill="1" applyBorder="1" applyAlignment="1">
      <alignment horizontal="center" wrapText="1"/>
    </xf>
    <xf numFmtId="165" fontId="9" fillId="3" borderId="4" xfId="2" applyNumberFormat="1" applyFont="1" applyFill="1" applyBorder="1" applyAlignment="1">
      <alignment horizontal="right" wrapText="1"/>
    </xf>
    <xf numFmtId="165" fontId="2" fillId="0" borderId="3" xfId="0" applyNumberFormat="1" applyFont="1" applyBorder="1" applyAlignment="1">
      <alignment horizontal="right"/>
    </xf>
    <xf numFmtId="165" fontId="7" fillId="0" borderId="3" xfId="2" applyNumberFormat="1" applyFont="1" applyBorder="1" applyAlignment="1">
      <alignment horizontal="right" wrapText="1"/>
    </xf>
    <xf numFmtId="0" fontId="2" fillId="0" borderId="3" xfId="0" applyFont="1" applyBorder="1" applyAlignment="1">
      <alignment horizontal="right"/>
    </xf>
    <xf numFmtId="7" fontId="2" fillId="0" borderId="3" xfId="1" applyNumberFormat="1" applyFont="1" applyFill="1" applyBorder="1" applyAlignment="1">
      <alignment horizontal="right"/>
    </xf>
    <xf numFmtId="166" fontId="2" fillId="0" borderId="3" xfId="1" applyNumberFormat="1" applyFont="1" applyFill="1" applyBorder="1" applyAlignment="1">
      <alignment horizontal="right"/>
    </xf>
    <xf numFmtId="0" fontId="3" fillId="3" borderId="0" xfId="0" applyFont="1" applyFill="1"/>
    <xf numFmtId="164" fontId="10" fillId="3" borderId="0" xfId="2" applyNumberFormat="1" applyFont="1" applyFill="1" applyAlignment="1">
      <alignment horizontal="left" wrapText="1"/>
    </xf>
    <xf numFmtId="7" fontId="4" fillId="3" borderId="5" xfId="1" applyNumberFormat="1" applyFont="1" applyFill="1" applyBorder="1" applyAlignment="1">
      <alignment horizontal="right" wrapText="1"/>
    </xf>
    <xf numFmtId="166" fontId="4" fillId="3" borderId="6" xfId="2" applyNumberFormat="1" applyFont="1" applyFill="1" applyBorder="1" applyAlignment="1">
      <alignment horizontal="right" wrapText="1"/>
    </xf>
    <xf numFmtId="167" fontId="2" fillId="3" borderId="6" xfId="0" applyNumberFormat="1" applyFont="1" applyFill="1" applyBorder="1"/>
    <xf numFmtId="7" fontId="3" fillId="3" borderId="0" xfId="0" applyNumberFormat="1" applyFont="1" applyFill="1"/>
    <xf numFmtId="7" fontId="4" fillId="3" borderId="0" xfId="2" applyNumberFormat="1" applyFont="1" applyFill="1" applyAlignment="1">
      <alignment horizontal="right" wrapText="1"/>
    </xf>
    <xf numFmtId="7" fontId="3" fillId="3" borderId="0" xfId="1" applyNumberFormat="1" applyFont="1" applyFill="1"/>
    <xf numFmtId="166" fontId="3" fillId="3" borderId="0" xfId="1" applyNumberFormat="1" applyFont="1" applyFill="1"/>
    <xf numFmtId="166" fontId="3" fillId="3" borderId="0" xfId="0" applyNumberFormat="1" applyFont="1" applyFill="1"/>
    <xf numFmtId="165" fontId="3" fillId="3" borderId="0" xfId="0" applyNumberFormat="1" applyFont="1" applyFill="1"/>
    <xf numFmtId="0" fontId="3" fillId="0" borderId="0" xfId="0" applyFont="1" applyAlignment="1">
      <alignment vertical="top"/>
    </xf>
    <xf numFmtId="164" fontId="4" fillId="0" borderId="0" xfId="2" applyNumberFormat="1" applyFont="1" applyAlignment="1">
      <alignment wrapText="1"/>
    </xf>
    <xf numFmtId="7" fontId="3" fillId="0" borderId="6" xfId="1" applyNumberFormat="1" applyFont="1" applyFill="1" applyBorder="1"/>
    <xf numFmtId="166" fontId="4" fillId="0" borderId="6" xfId="2" applyNumberFormat="1" applyFont="1" applyBorder="1" applyAlignment="1">
      <alignment horizontal="right" wrapText="1"/>
    </xf>
    <xf numFmtId="167" fontId="2" fillId="0" borderId="6" xfId="0" applyNumberFormat="1" applyFont="1" applyBorder="1"/>
    <xf numFmtId="7" fontId="3" fillId="0" borderId="0" xfId="0" applyNumberFormat="1" applyFont="1"/>
    <xf numFmtId="7" fontId="10" fillId="0" borderId="0" xfId="2" applyNumberFormat="1" applyFont="1" applyAlignment="1">
      <alignment horizontal="right"/>
    </xf>
    <xf numFmtId="7" fontId="3" fillId="0" borderId="0" xfId="1" applyNumberFormat="1" applyFont="1" applyFill="1"/>
    <xf numFmtId="166" fontId="3" fillId="0" borderId="0" xfId="1" applyNumberFormat="1" applyFont="1" applyFill="1"/>
    <xf numFmtId="166" fontId="3" fillId="0" borderId="0" xfId="0" applyNumberFormat="1" applyFont="1"/>
    <xf numFmtId="7" fontId="4" fillId="3" borderId="6" xfId="1" applyNumberFormat="1" applyFont="1" applyFill="1" applyBorder="1" applyAlignment="1">
      <alignment horizontal="right" wrapText="1"/>
    </xf>
    <xf numFmtId="7" fontId="4" fillId="3" borderId="0" xfId="2" applyNumberFormat="1" applyFont="1" applyFill="1" applyAlignment="1">
      <alignment wrapText="1"/>
    </xf>
    <xf numFmtId="7" fontId="10" fillId="3" borderId="0" xfId="2" applyNumberFormat="1" applyFont="1" applyFill="1" applyAlignment="1">
      <alignment horizontal="right"/>
    </xf>
    <xf numFmtId="7" fontId="4" fillId="0" borderId="6" xfId="1" applyNumberFormat="1" applyFont="1" applyFill="1" applyBorder="1" applyAlignment="1">
      <alignment horizontal="right" wrapText="1"/>
    </xf>
    <xf numFmtId="7" fontId="4" fillId="0" borderId="0" xfId="2" applyNumberFormat="1" applyFont="1">
      <alignment vertical="center"/>
    </xf>
    <xf numFmtId="164" fontId="4" fillId="3" borderId="0" xfId="2" applyNumberFormat="1" applyFont="1" applyFill="1" applyAlignment="1">
      <alignment wrapText="1"/>
    </xf>
    <xf numFmtId="166" fontId="3" fillId="4" borderId="0" xfId="0" applyNumberFormat="1" applyFont="1" applyFill="1"/>
    <xf numFmtId="166" fontId="3" fillId="0" borderId="7" xfId="0" applyNumberFormat="1" applyFont="1" applyBorder="1"/>
    <xf numFmtId="0" fontId="2" fillId="0" borderId="0" xfId="0" applyFont="1" applyAlignment="1">
      <alignment horizontal="right"/>
    </xf>
    <xf numFmtId="7" fontId="3" fillId="0" borderId="8" xfId="0" applyNumberFormat="1" applyFont="1" applyBorder="1"/>
    <xf numFmtId="166" fontId="4" fillId="0" borderId="5" xfId="2" applyNumberFormat="1" applyFont="1" applyBorder="1" applyAlignment="1">
      <alignment horizontal="right" wrapText="1"/>
    </xf>
    <xf numFmtId="167" fontId="2" fillId="0" borderId="5" xfId="0" applyNumberFormat="1" applyFont="1" applyBorder="1"/>
    <xf numFmtId="7" fontId="3" fillId="0" borderId="9" xfId="0" applyNumberFormat="1" applyFont="1" applyBorder="1"/>
    <xf numFmtId="0" fontId="13" fillId="0" borderId="0" xfId="0" applyFont="1"/>
    <xf numFmtId="164" fontId="14" fillId="0" borderId="0" xfId="0" applyNumberFormat="1" applyFont="1" applyAlignment="1">
      <alignment horizontal="right"/>
    </xf>
    <xf numFmtId="165" fontId="15" fillId="0" borderId="0" xfId="2" applyNumberFormat="1" applyFont="1" applyAlignment="1">
      <alignment horizontal="right"/>
    </xf>
    <xf numFmtId="0" fontId="13" fillId="0" borderId="0" xfId="0" applyFont="1" applyAlignment="1">
      <alignment horizontal="left"/>
    </xf>
    <xf numFmtId="165" fontId="11" fillId="0" borderId="0" xfId="2" applyNumberFormat="1" applyFont="1" applyAlignment="1">
      <alignment wrapText="1"/>
    </xf>
    <xf numFmtId="7" fontId="3" fillId="3" borderId="6" xfId="1" applyNumberFormat="1" applyFont="1" applyFill="1" applyBorder="1"/>
    <xf numFmtId="166" fontId="3" fillId="3" borderId="7" xfId="0" applyNumberFormat="1" applyFont="1" applyFill="1" applyBorder="1"/>
    <xf numFmtId="166" fontId="4" fillId="0" borderId="0" xfId="2" applyNumberFormat="1" applyFont="1" applyAlignment="1">
      <alignment horizontal="right" wrapText="1"/>
    </xf>
    <xf numFmtId="167" fontId="2" fillId="0" borderId="0" xfId="0" applyNumberFormat="1" applyFont="1"/>
    <xf numFmtId="165" fontId="9" fillId="0" borderId="4" xfId="2" applyNumberFormat="1" applyFont="1" applyBorder="1" applyAlignment="1">
      <alignment horizontal="right" wrapText="1"/>
    </xf>
    <xf numFmtId="7" fontId="4" fillId="3" borderId="8" xfId="1" applyNumberFormat="1" applyFont="1" applyFill="1" applyBorder="1" applyAlignment="1">
      <alignment horizontal="right" wrapText="1"/>
    </xf>
    <xf numFmtId="0" fontId="3" fillId="3" borderId="3" xfId="0" applyFont="1" applyFill="1" applyBorder="1"/>
    <xf numFmtId="7" fontId="4" fillId="3" borderId="10" xfId="1" applyNumberFormat="1" applyFont="1" applyFill="1" applyBorder="1" applyAlignment="1">
      <alignment horizontal="right" wrapText="1"/>
    </xf>
    <xf numFmtId="166" fontId="4" fillId="3" borderId="11" xfId="2" applyNumberFormat="1" applyFont="1" applyFill="1" applyBorder="1" applyAlignment="1">
      <alignment horizontal="right" wrapText="1"/>
    </xf>
    <xf numFmtId="7" fontId="3" fillId="3" borderId="12" xfId="1" applyNumberFormat="1" applyFont="1" applyFill="1" applyBorder="1"/>
    <xf numFmtId="166" fontId="4" fillId="0" borderId="11" xfId="2" applyNumberFormat="1" applyFont="1" applyBorder="1" applyAlignment="1">
      <alignment horizontal="right" wrapText="1"/>
    </xf>
    <xf numFmtId="7" fontId="4" fillId="3" borderId="12" xfId="1" applyNumberFormat="1" applyFont="1" applyFill="1" applyBorder="1" applyAlignment="1">
      <alignment horizontal="right" wrapText="1"/>
    </xf>
    <xf numFmtId="0" fontId="3" fillId="3" borderId="13" xfId="0" applyFont="1" applyFill="1" applyBorder="1"/>
    <xf numFmtId="7" fontId="3" fillId="3" borderId="12" xfId="0" applyNumberFormat="1" applyFont="1" applyFill="1" applyBorder="1"/>
    <xf numFmtId="166" fontId="4" fillId="3" borderId="14" xfId="2" applyNumberFormat="1" applyFont="1" applyFill="1" applyBorder="1" applyAlignment="1">
      <alignment horizontal="right" wrapText="1"/>
    </xf>
    <xf numFmtId="7" fontId="6" fillId="0" borderId="9" xfId="0" applyNumberFormat="1" applyFont="1" applyBorder="1"/>
    <xf numFmtId="7" fontId="3" fillId="0" borderId="9" xfId="1" applyNumberFormat="1" applyFont="1" applyFill="1" applyBorder="1"/>
    <xf numFmtId="166" fontId="3" fillId="0" borderId="9" xfId="1" applyNumberFormat="1" applyFont="1" applyFill="1" applyBorder="1"/>
    <xf numFmtId="7" fontId="6" fillId="0" borderId="0" xfId="0" applyNumberFormat="1" applyFont="1"/>
    <xf numFmtId="7" fontId="3" fillId="0" borderId="0" xfId="1" applyNumberFormat="1" applyFont="1" applyFill="1" applyBorder="1"/>
    <xf numFmtId="166" fontId="3" fillId="0" borderId="0" xfId="1" applyNumberFormat="1" applyFont="1" applyFill="1" applyBorder="1"/>
    <xf numFmtId="164" fontId="4" fillId="0" borderId="3" xfId="2" applyNumberFormat="1" applyFont="1" applyBorder="1" applyAlignment="1">
      <alignment wrapText="1"/>
    </xf>
    <xf numFmtId="7" fontId="4" fillId="0" borderId="4" xfId="1" applyNumberFormat="1" applyFont="1" applyFill="1" applyBorder="1" applyAlignment="1">
      <alignment horizontal="right" wrapText="1"/>
    </xf>
    <xf numFmtId="7" fontId="3" fillId="3" borderId="6" xfId="0" applyNumberFormat="1" applyFont="1" applyFill="1" applyBorder="1"/>
    <xf numFmtId="166" fontId="4" fillId="3" borderId="5" xfId="2" applyNumberFormat="1" applyFont="1" applyFill="1" applyBorder="1" applyAlignment="1">
      <alignment horizontal="right" wrapText="1"/>
    </xf>
    <xf numFmtId="165" fontId="7" fillId="0" borderId="4" xfId="2" applyNumberFormat="1" applyFont="1" applyBorder="1" applyAlignment="1">
      <alignment horizontal="center" wrapText="1"/>
    </xf>
    <xf numFmtId="7" fontId="3" fillId="5" borderId="0" xfId="0" applyNumberFormat="1" applyFont="1" applyFill="1"/>
    <xf numFmtId="7" fontId="4" fillId="3" borderId="4" xfId="1" applyNumberFormat="1" applyFont="1" applyFill="1" applyBorder="1" applyAlignment="1">
      <alignment horizontal="right" wrapText="1"/>
    </xf>
    <xf numFmtId="0" fontId="2" fillId="0" borderId="3" xfId="0" applyFont="1" applyBorder="1"/>
    <xf numFmtId="44" fontId="10" fillId="0" borderId="0" xfId="2" applyNumberFormat="1" applyFont="1" applyAlignment="1">
      <alignment horizontal="left"/>
    </xf>
    <xf numFmtId="0" fontId="4" fillId="0" borderId="0" xfId="2" applyFont="1">
      <alignment vertical="center"/>
    </xf>
    <xf numFmtId="165" fontId="4" fillId="0" borderId="15" xfId="2" applyNumberFormat="1" applyFont="1" applyBorder="1" applyAlignment="1">
      <alignment horizontal="center" wrapText="1"/>
    </xf>
    <xf numFmtId="165" fontId="4" fillId="0" borderId="16" xfId="2" applyNumberFormat="1" applyFont="1" applyBorder="1" applyAlignment="1">
      <alignment horizontal="center" wrapText="1"/>
    </xf>
    <xf numFmtId="165" fontId="10" fillId="0" borderId="17" xfId="2" applyNumberFormat="1" applyFont="1" applyBorder="1" applyAlignment="1">
      <alignment horizontal="center" wrapText="1"/>
    </xf>
    <xf numFmtId="164" fontId="10" fillId="0" borderId="0" xfId="2" applyNumberFormat="1" applyFont="1" applyAlignment="1">
      <alignment horizontal="left" wrapText="1"/>
    </xf>
    <xf numFmtId="7" fontId="4" fillId="0" borderId="18" xfId="1" applyNumberFormat="1" applyFont="1" applyFill="1" applyBorder="1" applyAlignment="1">
      <alignment horizontal="right" wrapText="1"/>
    </xf>
    <xf numFmtId="166" fontId="4" fillId="0" borderId="19" xfId="2" applyNumberFormat="1" applyFont="1" applyBorder="1" applyAlignment="1">
      <alignment horizontal="right" wrapText="1"/>
    </xf>
    <xf numFmtId="7" fontId="3" fillId="0" borderId="18" xfId="1" applyNumberFormat="1" applyFont="1" applyBorder="1"/>
    <xf numFmtId="166" fontId="3" fillId="0" borderId="20" xfId="0" applyNumberFormat="1" applyFont="1" applyBorder="1"/>
    <xf numFmtId="166" fontId="4" fillId="0" borderId="20" xfId="2" applyNumberFormat="1" applyFont="1" applyBorder="1" applyAlignment="1">
      <alignment horizontal="right" wrapText="1"/>
    </xf>
    <xf numFmtId="7" fontId="4" fillId="0" borderId="15" xfId="1" applyNumberFormat="1" applyFont="1" applyFill="1" applyBorder="1" applyAlignment="1">
      <alignment horizontal="right" wrapText="1"/>
    </xf>
    <xf numFmtId="166" fontId="3" fillId="0" borderId="16" xfId="0" applyNumberFormat="1" applyFont="1" applyBorder="1" applyAlignment="1">
      <alignment horizontal="right"/>
    </xf>
    <xf numFmtId="165" fontId="3" fillId="0" borderId="18" xfId="0" applyNumberFormat="1" applyFont="1" applyBorder="1"/>
    <xf numFmtId="166" fontId="3" fillId="0" borderId="21" xfId="0" applyNumberFormat="1" applyFont="1" applyBorder="1"/>
  </cellXfs>
  <cellStyles count="3">
    <cellStyle name="Currency" xfId="1" builtinId="4"/>
    <cellStyle name="Normal" xfId="0" builtinId="0"/>
    <cellStyle name="Normal 2" xfId="2" xr:uid="{C46DE653-D3A3-4BA9-955A-5741285076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Gina A. Giambattista" id="{0843C193-27AE-4BCC-8DC5-5DF59A68DCC5}" userId="S::ggc9@cornell.edu::e90c090c-2e5f-47ce-9f63-2e60478bb7a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K69" dT="2022-02-17T18:42:33.51" personId="{0843C193-27AE-4BCC-8DC5-5DF59A68DCC5}" id="{7C15701B-9A17-4FF3-B743-8307394DEAA6}">
    <text>per EDoc# 39793546
“staff members at the Cornell COVID-19 Testing Laboratory (CCTL) at the College of Veterinary Medicine were recipients of the Employee Assembly Staff Appreciation Award at this year’s President’s Address to Staff (November 12). As recipients, they all receive 10 points in the Appreciation Portal; however, due to an error with the Awardco bulk messaging system, they all received an email that said they received 0 points.
In an effort to rectify the situation, Ashley Miller will be adding the budget feature to the EA account and I will be processing a transfer of $820 from the Employee Assembly Staff
Staff Recognition &amp; Awards subaccount (account G933702-20003) to the HR Awardco holding account U013605.</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5A8BE-EF9D-46D5-96AC-90A524CF426C}">
  <sheetPr>
    <tabColor rgb="FF0000FF"/>
  </sheetPr>
  <dimension ref="A1:R198"/>
  <sheetViews>
    <sheetView tabSelected="1" topLeftCell="A16" zoomScale="140" zoomScaleNormal="140" zoomScalePageLayoutView="125" workbookViewId="0">
      <pane xSplit="2" topLeftCell="C1" activePane="topRight" state="frozen"/>
      <selection activeCell="A5" sqref="A5"/>
      <selection pane="topRight" activeCell="C20" sqref="C20"/>
    </sheetView>
  </sheetViews>
  <sheetFormatPr defaultColWidth="8.85546875" defaultRowHeight="13.5" x14ac:dyDescent="0.25"/>
  <cols>
    <col min="1" max="1" width="16.85546875" style="4" customWidth="1"/>
    <col min="2" max="2" width="35.5703125" style="4" customWidth="1"/>
    <col min="3" max="3" width="14.85546875" style="6" customWidth="1"/>
    <col min="4" max="4" width="11.85546875" style="7" customWidth="1"/>
    <col min="5" max="5" width="12.5703125" style="7" customWidth="1"/>
    <col min="6" max="6" width="11.5703125" style="7" customWidth="1"/>
    <col min="7" max="7" width="12.5703125" style="7" customWidth="1"/>
    <col min="8" max="9" width="12.42578125" style="7" customWidth="1"/>
    <col min="10" max="10" width="13" style="8" customWidth="1"/>
    <col min="11" max="11" width="11.5703125" style="4" customWidth="1"/>
    <col min="12" max="12" width="13" style="4" customWidth="1"/>
    <col min="13" max="14" width="12.42578125" style="4" customWidth="1"/>
    <col min="15" max="15" width="12.85546875" style="4" bestFit="1" customWidth="1"/>
    <col min="16" max="16" width="10.28515625" style="4" customWidth="1"/>
    <col min="17" max="17" width="15.28515625" style="4" customWidth="1"/>
    <col min="18" max="18" width="9.42578125" style="4" bestFit="1" customWidth="1"/>
    <col min="19" max="16384" width="8.85546875" style="4"/>
  </cols>
  <sheetData>
    <row r="1" spans="1:17" x14ac:dyDescent="0.25">
      <c r="A1" s="1" t="s">
        <v>0</v>
      </c>
      <c r="B1" s="2"/>
      <c r="C1" s="3"/>
      <c r="D1" s="3"/>
      <c r="E1" s="3"/>
      <c r="F1" s="3"/>
      <c r="G1" s="3"/>
      <c r="H1" s="3"/>
      <c r="I1" s="3"/>
      <c r="J1" s="3"/>
      <c r="K1" s="3"/>
    </row>
    <row r="2" spans="1:17" x14ac:dyDescent="0.25">
      <c r="A2" s="5" t="s">
        <v>1</v>
      </c>
      <c r="B2" s="2"/>
      <c r="K2" s="9"/>
    </row>
    <row r="3" spans="1:17" x14ac:dyDescent="0.25">
      <c r="A3" s="8" t="s">
        <v>2</v>
      </c>
      <c r="K3" s="9"/>
    </row>
    <row r="4" spans="1:17" x14ac:dyDescent="0.25">
      <c r="A4" s="8"/>
      <c r="K4" s="9"/>
    </row>
    <row r="5" spans="1:17" x14ac:dyDescent="0.25">
      <c r="A5" s="8"/>
      <c r="B5" s="10" t="s">
        <v>3</v>
      </c>
      <c r="C5" s="11"/>
      <c r="K5" s="9"/>
    </row>
    <row r="6" spans="1:17" x14ac:dyDescent="0.25">
      <c r="A6" s="8"/>
      <c r="B6" s="12" t="s">
        <v>4</v>
      </c>
      <c r="C6" s="13">
        <f>C13</f>
        <v>9650</v>
      </c>
      <c r="K6" s="9"/>
    </row>
    <row r="7" spans="1:17" x14ac:dyDescent="0.25">
      <c r="A7" s="8"/>
      <c r="B7" s="12" t="s">
        <v>5</v>
      </c>
      <c r="C7" s="14">
        <f>D27</f>
        <v>1275.6500000000001</v>
      </c>
      <c r="K7" s="9"/>
    </row>
    <row r="8" spans="1:17" x14ac:dyDescent="0.25">
      <c r="A8" s="8"/>
      <c r="B8" s="15" t="s">
        <v>6</v>
      </c>
      <c r="C8" s="16">
        <f>C6-C7</f>
        <v>8374.35</v>
      </c>
      <c r="K8" s="9"/>
    </row>
    <row r="9" spans="1:17" x14ac:dyDescent="0.25">
      <c r="A9" s="8"/>
      <c r="K9" s="9"/>
    </row>
    <row r="10" spans="1:17" x14ac:dyDescent="0.25">
      <c r="B10" s="8" t="s">
        <v>7</v>
      </c>
      <c r="K10" s="17"/>
    </row>
    <row r="11" spans="1:17" x14ac:dyDescent="0.25">
      <c r="B11" s="18" t="s">
        <v>8</v>
      </c>
      <c r="C11" s="19">
        <v>9650</v>
      </c>
      <c r="K11" s="17"/>
    </row>
    <row r="12" spans="1:17" x14ac:dyDescent="0.25">
      <c r="A12" s="8"/>
      <c r="B12" s="20" t="s">
        <v>9</v>
      </c>
      <c r="C12" s="21">
        <v>0</v>
      </c>
      <c r="D12" s="22"/>
      <c r="E12" s="22"/>
      <c r="F12" s="22"/>
      <c r="G12" s="22"/>
      <c r="H12" s="22"/>
      <c r="I12" s="22"/>
      <c r="J12" s="9"/>
      <c r="K12" s="23"/>
    </row>
    <row r="13" spans="1:17" x14ac:dyDescent="0.25">
      <c r="B13" s="24" t="s">
        <v>10</v>
      </c>
      <c r="C13" s="25">
        <f>C12+C11</f>
        <v>9650</v>
      </c>
      <c r="D13" s="26"/>
      <c r="E13" s="27"/>
      <c r="F13" s="27"/>
      <c r="I13" s="27"/>
      <c r="J13" s="4"/>
      <c r="K13" s="23"/>
    </row>
    <row r="14" spans="1:17" x14ac:dyDescent="0.25">
      <c r="B14" s="24"/>
      <c r="C14" s="25"/>
      <c r="D14" s="26"/>
      <c r="E14" s="27"/>
      <c r="F14" s="27"/>
      <c r="I14" s="27"/>
      <c r="J14" s="4"/>
      <c r="K14" s="23"/>
    </row>
    <row r="15" spans="1:17" x14ac:dyDescent="0.25">
      <c r="A15" s="8" t="s">
        <v>11</v>
      </c>
      <c r="B15" s="28"/>
      <c r="C15" s="29"/>
      <c r="D15" s="30"/>
      <c r="E15" s="30"/>
      <c r="F15" s="30"/>
      <c r="G15" s="30"/>
      <c r="H15" s="30"/>
      <c r="I15" s="30"/>
      <c r="J15" s="31"/>
      <c r="K15" s="23"/>
    </row>
    <row r="16" spans="1:17" ht="27" x14ac:dyDescent="0.25">
      <c r="A16" s="20"/>
      <c r="B16" s="32" t="s">
        <v>12</v>
      </c>
      <c r="C16" s="33" t="s">
        <v>13</v>
      </c>
      <c r="D16" s="34" t="s">
        <v>14</v>
      </c>
      <c r="E16" s="35" t="s">
        <v>15</v>
      </c>
      <c r="F16" s="36" t="s">
        <v>16</v>
      </c>
      <c r="G16" s="37" t="s">
        <v>17</v>
      </c>
      <c r="H16" s="38" t="s">
        <v>18</v>
      </c>
      <c r="I16" s="38" t="s">
        <v>19</v>
      </c>
      <c r="J16" s="39" t="s">
        <v>20</v>
      </c>
      <c r="K16" s="40" t="s">
        <v>21</v>
      </c>
      <c r="L16" s="40" t="s">
        <v>22</v>
      </c>
      <c r="M16" s="40" t="s">
        <v>23</v>
      </c>
      <c r="N16" s="40" t="s">
        <v>24</v>
      </c>
      <c r="O16" s="38" t="s">
        <v>25</v>
      </c>
      <c r="P16" s="38" t="s">
        <v>26</v>
      </c>
      <c r="Q16" s="38" t="s">
        <v>27</v>
      </c>
    </row>
    <row r="17" spans="1:17" x14ac:dyDescent="0.25">
      <c r="A17" s="41">
        <v>10000</v>
      </c>
      <c r="B17" s="42" t="s">
        <v>28</v>
      </c>
      <c r="C17" s="43">
        <v>1250</v>
      </c>
      <c r="D17" s="44">
        <f t="shared" ref="D17:D27" si="0">SUM(F17:Q17)</f>
        <v>444.49</v>
      </c>
      <c r="E17" s="45">
        <f>C17-D17</f>
        <v>805.51</v>
      </c>
      <c r="F17" s="46">
        <v>323</v>
      </c>
      <c r="G17" s="47">
        <v>121.49</v>
      </c>
      <c r="H17" s="46"/>
      <c r="I17" s="46"/>
      <c r="J17" s="48"/>
      <c r="K17" s="49"/>
      <c r="L17" s="49"/>
      <c r="M17" s="49"/>
      <c r="N17" s="49"/>
      <c r="O17" s="50"/>
      <c r="P17" s="50"/>
      <c r="Q17" s="51"/>
    </row>
    <row r="18" spans="1:17" ht="27" x14ac:dyDescent="0.25">
      <c r="A18" s="52">
        <v>10001</v>
      </c>
      <c r="B18" s="53" t="s">
        <v>29</v>
      </c>
      <c r="C18" s="54">
        <v>650</v>
      </c>
      <c r="D18" s="55">
        <f t="shared" si="0"/>
        <v>0</v>
      </c>
      <c r="E18" s="56">
        <f t="shared" ref="E18:E25" si="1">C18-D18</f>
        <v>650</v>
      </c>
      <c r="F18" s="57"/>
      <c r="G18" s="58"/>
      <c r="H18" s="57"/>
      <c r="I18" s="57"/>
      <c r="J18" s="59"/>
      <c r="K18" s="60"/>
      <c r="L18" s="60"/>
      <c r="M18" s="60"/>
      <c r="N18" s="60"/>
      <c r="P18" s="61"/>
      <c r="Q18" s="9"/>
    </row>
    <row r="19" spans="1:17" x14ac:dyDescent="0.25">
      <c r="A19" s="41">
        <v>10002</v>
      </c>
      <c r="B19" s="42" t="s">
        <v>30</v>
      </c>
      <c r="C19" s="62">
        <v>1750</v>
      </c>
      <c r="D19" s="44">
        <f t="shared" si="0"/>
        <v>0</v>
      </c>
      <c r="E19" s="45">
        <f t="shared" si="1"/>
        <v>1750</v>
      </c>
      <c r="F19" s="63"/>
      <c r="G19" s="64"/>
      <c r="H19" s="46"/>
      <c r="I19" s="46"/>
      <c r="J19" s="46"/>
      <c r="K19" s="49"/>
      <c r="L19" s="49"/>
      <c r="M19" s="49"/>
      <c r="N19" s="49"/>
      <c r="O19" s="50"/>
      <c r="P19" s="50"/>
      <c r="Q19" s="51"/>
    </row>
    <row r="20" spans="1:17" x14ac:dyDescent="0.25">
      <c r="A20" s="4">
        <v>10003</v>
      </c>
      <c r="B20" s="53" t="s">
        <v>31</v>
      </c>
      <c r="C20" s="65">
        <v>600</v>
      </c>
      <c r="D20" s="55">
        <f t="shared" si="0"/>
        <v>0</v>
      </c>
      <c r="E20" s="56">
        <f t="shared" si="1"/>
        <v>600</v>
      </c>
      <c r="F20" s="66"/>
      <c r="G20" s="58"/>
      <c r="H20" s="57"/>
      <c r="I20" s="57"/>
      <c r="J20" s="59"/>
      <c r="K20" s="60"/>
      <c r="L20" s="60"/>
      <c r="M20" s="60"/>
      <c r="N20" s="60"/>
      <c r="O20" s="61"/>
      <c r="P20" s="61"/>
      <c r="Q20" s="9"/>
    </row>
    <row r="21" spans="1:17" x14ac:dyDescent="0.25">
      <c r="A21" s="41">
        <v>10006</v>
      </c>
      <c r="B21" s="67" t="s">
        <v>32</v>
      </c>
      <c r="C21" s="62">
        <v>800</v>
      </c>
      <c r="D21" s="44">
        <f t="shared" si="0"/>
        <v>0</v>
      </c>
      <c r="E21" s="45">
        <f t="shared" si="1"/>
        <v>800</v>
      </c>
      <c r="F21" s="46"/>
      <c r="G21" s="64"/>
      <c r="H21" s="46"/>
      <c r="I21" s="46"/>
      <c r="J21" s="48"/>
      <c r="K21" s="49"/>
      <c r="L21" s="49"/>
      <c r="M21" s="49"/>
      <c r="N21" s="49"/>
      <c r="O21" s="50"/>
      <c r="P21" s="50"/>
      <c r="Q21" s="51"/>
    </row>
    <row r="22" spans="1:17" x14ac:dyDescent="0.25">
      <c r="A22" s="4">
        <v>20001</v>
      </c>
      <c r="B22" s="53" t="s">
        <v>33</v>
      </c>
      <c r="C22" s="65">
        <v>100</v>
      </c>
      <c r="D22" s="55">
        <f t="shared" si="0"/>
        <v>0</v>
      </c>
      <c r="E22" s="56">
        <f t="shared" si="1"/>
        <v>100</v>
      </c>
      <c r="F22" s="57"/>
      <c r="G22" s="58"/>
      <c r="H22" s="57"/>
      <c r="I22" s="57"/>
      <c r="J22" s="59"/>
      <c r="K22" s="60"/>
      <c r="L22" s="60"/>
      <c r="M22" s="60"/>
      <c r="N22" s="60"/>
      <c r="O22" s="61"/>
      <c r="P22" s="61"/>
      <c r="Q22" s="9"/>
    </row>
    <row r="23" spans="1:17" x14ac:dyDescent="0.25">
      <c r="A23" s="41">
        <v>20002</v>
      </c>
      <c r="B23" s="67" t="s">
        <v>34</v>
      </c>
      <c r="C23" s="62">
        <v>100</v>
      </c>
      <c r="D23" s="44">
        <f t="shared" si="0"/>
        <v>0</v>
      </c>
      <c r="E23" s="45">
        <f t="shared" si="1"/>
        <v>100</v>
      </c>
      <c r="F23" s="46"/>
      <c r="G23" s="64"/>
      <c r="H23" s="46"/>
      <c r="I23" s="46"/>
      <c r="J23" s="48"/>
      <c r="K23" s="49"/>
      <c r="L23" s="49"/>
      <c r="M23" s="49"/>
      <c r="N23" s="49"/>
      <c r="O23" s="50"/>
      <c r="P23" s="50"/>
      <c r="Q23" s="51"/>
    </row>
    <row r="24" spans="1:17" x14ac:dyDescent="0.25">
      <c r="A24" s="4">
        <v>20003</v>
      </c>
      <c r="B24" s="53" t="s">
        <v>35</v>
      </c>
      <c r="C24" s="65">
        <v>1500</v>
      </c>
      <c r="D24" s="55">
        <f t="shared" si="0"/>
        <v>706.16</v>
      </c>
      <c r="E24" s="56">
        <f t="shared" si="1"/>
        <v>793.84</v>
      </c>
      <c r="F24" s="57"/>
      <c r="G24" s="58">
        <v>706.16</v>
      </c>
      <c r="H24" s="57"/>
      <c r="I24" s="57"/>
      <c r="J24" s="59"/>
      <c r="K24" s="60"/>
      <c r="L24" s="60"/>
      <c r="M24" s="60"/>
      <c r="N24" s="60"/>
      <c r="O24" s="61"/>
      <c r="P24" s="61"/>
      <c r="Q24" s="9"/>
    </row>
    <row r="25" spans="1:17" x14ac:dyDescent="0.25">
      <c r="A25" s="41">
        <v>30001</v>
      </c>
      <c r="B25" s="67" t="s">
        <v>36</v>
      </c>
      <c r="C25" s="62">
        <v>1700</v>
      </c>
      <c r="D25" s="44">
        <f t="shared" si="0"/>
        <v>125</v>
      </c>
      <c r="E25" s="45">
        <f t="shared" si="1"/>
        <v>1575</v>
      </c>
      <c r="F25" s="46">
        <v>125</v>
      </c>
      <c r="G25" s="64"/>
      <c r="H25" s="46"/>
      <c r="I25" s="46"/>
      <c r="J25" s="48"/>
      <c r="K25" s="49"/>
      <c r="L25" s="49"/>
      <c r="M25" s="49"/>
      <c r="N25" s="68"/>
      <c r="O25" s="50"/>
      <c r="P25" s="50"/>
      <c r="Q25" s="51"/>
    </row>
    <row r="26" spans="1:17" x14ac:dyDescent="0.25">
      <c r="A26" s="20">
        <v>30003</v>
      </c>
      <c r="B26" s="20" t="s">
        <v>37</v>
      </c>
      <c r="C26" s="69">
        <v>1200</v>
      </c>
      <c r="D26" s="55">
        <f t="shared" si="0"/>
        <v>0</v>
      </c>
      <c r="E26" s="56">
        <f>C26-D26</f>
        <v>1200</v>
      </c>
      <c r="F26" s="61"/>
      <c r="G26" s="61"/>
      <c r="H26" s="61"/>
      <c r="I26" s="61"/>
      <c r="J26" s="61"/>
      <c r="K26" s="61"/>
      <c r="L26" s="61"/>
      <c r="M26" s="61"/>
      <c r="N26" s="61"/>
      <c r="O26" s="61"/>
      <c r="P26" s="61"/>
      <c r="Q26" s="61"/>
    </row>
    <row r="27" spans="1:17" x14ac:dyDescent="0.25">
      <c r="A27" s="70" t="s">
        <v>38</v>
      </c>
      <c r="C27" s="71">
        <f>SUM(C17:C26)</f>
        <v>9650</v>
      </c>
      <c r="D27" s="72">
        <f t="shared" si="0"/>
        <v>1275.6500000000001</v>
      </c>
      <c r="E27" s="73">
        <f>C27-D27</f>
        <v>8374.35</v>
      </c>
      <c r="F27" s="74">
        <f t="shared" ref="F27:Q27" si="2">SUM(F17:F26)</f>
        <v>448</v>
      </c>
      <c r="G27" s="74">
        <f t="shared" si="2"/>
        <v>827.65</v>
      </c>
      <c r="H27" s="74">
        <f t="shared" si="2"/>
        <v>0</v>
      </c>
      <c r="I27" s="74">
        <f t="shared" si="2"/>
        <v>0</v>
      </c>
      <c r="J27" s="74">
        <f t="shared" si="2"/>
        <v>0</v>
      </c>
      <c r="K27" s="74">
        <f t="shared" si="2"/>
        <v>0</v>
      </c>
      <c r="L27" s="74">
        <f t="shared" si="2"/>
        <v>0</v>
      </c>
      <c r="M27" s="74">
        <f t="shared" si="2"/>
        <v>0</v>
      </c>
      <c r="N27" s="74">
        <f t="shared" si="2"/>
        <v>0</v>
      </c>
      <c r="O27" s="74">
        <f t="shared" si="2"/>
        <v>0</v>
      </c>
      <c r="P27" s="74">
        <f t="shared" si="2"/>
        <v>0</v>
      </c>
      <c r="Q27" s="74">
        <f t="shared" si="2"/>
        <v>0</v>
      </c>
    </row>
    <row r="28" spans="1:17" s="75" customFormat="1" x14ac:dyDescent="0.25">
      <c r="B28" s="76"/>
      <c r="C28" s="77"/>
      <c r="D28" s="26"/>
      <c r="E28" s="27"/>
      <c r="F28" s="27"/>
      <c r="G28" s="78"/>
      <c r="H28" s="78"/>
      <c r="I28" s="27"/>
      <c r="K28" s="79"/>
    </row>
    <row r="29" spans="1:17" x14ac:dyDescent="0.25">
      <c r="B29" s="24"/>
      <c r="C29" s="25"/>
      <c r="D29" s="26"/>
      <c r="E29" s="27"/>
      <c r="F29" s="27"/>
      <c r="I29" s="27"/>
      <c r="J29" s="4"/>
      <c r="K29" s="23"/>
    </row>
    <row r="30" spans="1:17" x14ac:dyDescent="0.25">
      <c r="A30" s="8" t="s">
        <v>39</v>
      </c>
      <c r="B30" s="28"/>
      <c r="C30" s="29"/>
      <c r="D30" s="30"/>
      <c r="E30" s="30"/>
      <c r="F30" s="30"/>
      <c r="G30" s="30"/>
      <c r="H30" s="30"/>
      <c r="I30" s="30"/>
      <c r="J30" s="31"/>
      <c r="K30" s="23"/>
    </row>
    <row r="31" spans="1:17" ht="27" x14ac:dyDescent="0.25">
      <c r="A31" s="20"/>
      <c r="B31" s="32" t="s">
        <v>12</v>
      </c>
      <c r="C31" s="33" t="s">
        <v>40</v>
      </c>
      <c r="D31" s="34" t="s">
        <v>14</v>
      </c>
      <c r="E31" s="35" t="s">
        <v>15</v>
      </c>
      <c r="F31" s="36" t="s">
        <v>16</v>
      </c>
      <c r="G31" s="37" t="s">
        <v>17</v>
      </c>
      <c r="H31" s="38" t="s">
        <v>18</v>
      </c>
      <c r="I31" s="38" t="s">
        <v>19</v>
      </c>
      <c r="J31" s="39" t="s">
        <v>20</v>
      </c>
      <c r="K31" s="40" t="s">
        <v>21</v>
      </c>
      <c r="L31" s="40" t="s">
        <v>22</v>
      </c>
      <c r="M31" s="40" t="s">
        <v>23</v>
      </c>
      <c r="N31" s="40" t="s">
        <v>24</v>
      </c>
      <c r="O31" s="38" t="s">
        <v>25</v>
      </c>
      <c r="P31" s="38" t="s">
        <v>26</v>
      </c>
      <c r="Q31" s="38" t="s">
        <v>27</v>
      </c>
    </row>
    <row r="32" spans="1:17" x14ac:dyDescent="0.25">
      <c r="A32" s="41">
        <v>10000</v>
      </c>
      <c r="B32" s="42" t="s">
        <v>28</v>
      </c>
      <c r="C32" s="43">
        <v>2600</v>
      </c>
      <c r="D32" s="44">
        <f t="shared" ref="D32:D42" si="3">SUM(F32:Q32)</f>
        <v>253.57</v>
      </c>
      <c r="E32" s="45">
        <f>C32-D32</f>
        <v>2346.4299999999998</v>
      </c>
      <c r="F32" s="46"/>
      <c r="G32" s="47">
        <v>151.53</v>
      </c>
      <c r="H32" s="46"/>
      <c r="I32" s="46"/>
      <c r="J32" s="48"/>
      <c r="K32" s="49"/>
      <c r="L32" s="49">
        <v>102.04</v>
      </c>
      <c r="M32" s="49"/>
      <c r="N32" s="49"/>
      <c r="O32" s="50"/>
      <c r="P32" s="50"/>
      <c r="Q32" s="51"/>
    </row>
    <row r="33" spans="1:17" ht="27" x14ac:dyDescent="0.25">
      <c r="A33" s="52">
        <v>10001</v>
      </c>
      <c r="B33" s="53" t="s">
        <v>29</v>
      </c>
      <c r="C33" s="54">
        <v>650</v>
      </c>
      <c r="D33" s="55">
        <f t="shared" si="3"/>
        <v>0</v>
      </c>
      <c r="E33" s="56">
        <f t="shared" ref="E33:E40" si="4">C33-D33</f>
        <v>650</v>
      </c>
      <c r="F33" s="57"/>
      <c r="G33" s="58"/>
      <c r="H33" s="57"/>
      <c r="I33" s="57"/>
      <c r="J33" s="59"/>
      <c r="K33" s="60"/>
      <c r="L33" s="60"/>
      <c r="M33" s="60"/>
      <c r="N33" s="60"/>
      <c r="P33" s="61"/>
      <c r="Q33" s="9"/>
    </row>
    <row r="34" spans="1:17" x14ac:dyDescent="0.25">
      <c r="A34" s="41">
        <v>10002</v>
      </c>
      <c r="B34" s="42" t="s">
        <v>30</v>
      </c>
      <c r="C34" s="62">
        <v>500</v>
      </c>
      <c r="D34" s="44">
        <f t="shared" si="3"/>
        <v>585.99</v>
      </c>
      <c r="E34" s="45">
        <f t="shared" si="4"/>
        <v>-85.990000000000009</v>
      </c>
      <c r="F34" s="63"/>
      <c r="G34" s="64"/>
      <c r="H34" s="46"/>
      <c r="I34" s="46">
        <v>89.64</v>
      </c>
      <c r="J34" s="46"/>
      <c r="K34" s="49"/>
      <c r="L34" s="49"/>
      <c r="M34" s="49"/>
      <c r="N34" s="49"/>
      <c r="O34" s="50"/>
      <c r="P34" s="50">
        <v>496.35</v>
      </c>
      <c r="Q34" s="51"/>
    </row>
    <row r="35" spans="1:17" x14ac:dyDescent="0.25">
      <c r="A35" s="4">
        <v>10003</v>
      </c>
      <c r="B35" s="53" t="s">
        <v>31</v>
      </c>
      <c r="C35" s="65">
        <v>200</v>
      </c>
      <c r="D35" s="55">
        <f t="shared" si="3"/>
        <v>403</v>
      </c>
      <c r="E35" s="56">
        <f t="shared" si="4"/>
        <v>-203</v>
      </c>
      <c r="F35" s="66"/>
      <c r="G35" s="58"/>
      <c r="H35" s="57"/>
      <c r="I35" s="57"/>
      <c r="J35" s="59"/>
      <c r="K35" s="60"/>
      <c r="L35" s="60"/>
      <c r="M35" s="60"/>
      <c r="N35" s="60"/>
      <c r="O35" s="61"/>
      <c r="P35" s="61"/>
      <c r="Q35" s="9">
        <v>403</v>
      </c>
    </row>
    <row r="36" spans="1:17" x14ac:dyDescent="0.25">
      <c r="A36" s="41">
        <v>10006</v>
      </c>
      <c r="B36" s="67" t="s">
        <v>32</v>
      </c>
      <c r="C36" s="62">
        <v>400</v>
      </c>
      <c r="D36" s="44">
        <f t="shared" si="3"/>
        <v>800</v>
      </c>
      <c r="E36" s="45">
        <f t="shared" si="4"/>
        <v>-400</v>
      </c>
      <c r="F36" s="46"/>
      <c r="G36" s="64"/>
      <c r="H36" s="46"/>
      <c r="I36" s="46"/>
      <c r="J36" s="48"/>
      <c r="K36" s="49"/>
      <c r="L36" s="49"/>
      <c r="M36" s="49"/>
      <c r="N36" s="49"/>
      <c r="O36" s="50"/>
      <c r="P36" s="50">
        <v>800</v>
      </c>
      <c r="Q36" s="51"/>
    </row>
    <row r="37" spans="1:17" x14ac:dyDescent="0.25">
      <c r="A37" s="4">
        <v>20001</v>
      </c>
      <c r="B37" s="53" t="s">
        <v>33</v>
      </c>
      <c r="C37" s="65">
        <v>100</v>
      </c>
      <c r="D37" s="55">
        <f t="shared" si="3"/>
        <v>0</v>
      </c>
      <c r="E37" s="56">
        <f t="shared" si="4"/>
        <v>100</v>
      </c>
      <c r="F37" s="57"/>
      <c r="G37" s="58"/>
      <c r="H37" s="57"/>
      <c r="I37" s="57"/>
      <c r="J37" s="59"/>
      <c r="K37" s="60"/>
      <c r="L37" s="60"/>
      <c r="M37" s="60"/>
      <c r="N37" s="60"/>
      <c r="O37" s="61"/>
      <c r="P37" s="61"/>
      <c r="Q37" s="9"/>
    </row>
    <row r="38" spans="1:17" x14ac:dyDescent="0.25">
      <c r="A38" s="41">
        <v>20002</v>
      </c>
      <c r="B38" s="67" t="s">
        <v>34</v>
      </c>
      <c r="C38" s="62">
        <v>100</v>
      </c>
      <c r="D38" s="44">
        <f t="shared" si="3"/>
        <v>0</v>
      </c>
      <c r="E38" s="45">
        <f t="shared" si="4"/>
        <v>100</v>
      </c>
      <c r="F38" s="46"/>
      <c r="G38" s="64"/>
      <c r="H38" s="46"/>
      <c r="I38" s="46"/>
      <c r="J38" s="48"/>
      <c r="K38" s="49"/>
      <c r="L38" s="49"/>
      <c r="M38" s="49"/>
      <c r="N38" s="49"/>
      <c r="O38" s="50"/>
      <c r="P38" s="50"/>
      <c r="Q38" s="51"/>
    </row>
    <row r="39" spans="1:17" x14ac:dyDescent="0.25">
      <c r="A39" s="4">
        <v>20003</v>
      </c>
      <c r="B39" s="53" t="s">
        <v>35</v>
      </c>
      <c r="C39" s="65">
        <v>1700</v>
      </c>
      <c r="D39" s="55">
        <f t="shared" si="3"/>
        <v>747.37</v>
      </c>
      <c r="E39" s="56">
        <f t="shared" si="4"/>
        <v>952.63</v>
      </c>
      <c r="F39" s="57"/>
      <c r="G39" s="58"/>
      <c r="H39" s="57"/>
      <c r="I39" s="57"/>
      <c r="J39" s="59"/>
      <c r="K39" s="60"/>
      <c r="L39" s="60">
        <v>92.52</v>
      </c>
      <c r="M39" s="60">
        <v>654.85</v>
      </c>
      <c r="N39" s="60"/>
      <c r="O39" s="61"/>
      <c r="P39" s="61"/>
      <c r="Q39" s="9"/>
    </row>
    <row r="40" spans="1:17" x14ac:dyDescent="0.25">
      <c r="A40" s="41">
        <v>30001</v>
      </c>
      <c r="B40" s="67" t="s">
        <v>36</v>
      </c>
      <c r="C40" s="62">
        <v>1700</v>
      </c>
      <c r="D40" s="44">
        <f t="shared" si="3"/>
        <v>1521.25</v>
      </c>
      <c r="E40" s="45">
        <f t="shared" si="4"/>
        <v>178.75</v>
      </c>
      <c r="F40" s="46"/>
      <c r="G40" s="64"/>
      <c r="H40" s="46"/>
      <c r="I40" s="46"/>
      <c r="J40" s="48"/>
      <c r="K40" s="49">
        <v>159.80000000000001</v>
      </c>
      <c r="L40" s="49">
        <v>1219.45</v>
      </c>
      <c r="M40" s="49">
        <v>142</v>
      </c>
      <c r="N40" s="68"/>
      <c r="O40" s="50"/>
      <c r="P40" s="50"/>
      <c r="Q40" s="51"/>
    </row>
    <row r="41" spans="1:17" x14ac:dyDescent="0.25">
      <c r="A41" s="20">
        <v>30003</v>
      </c>
      <c r="B41" s="20" t="s">
        <v>37</v>
      </c>
      <c r="C41" s="69">
        <v>1700</v>
      </c>
      <c r="D41" s="55">
        <f t="shared" si="3"/>
        <v>0</v>
      </c>
      <c r="E41" s="56">
        <f>C41-D41</f>
        <v>1700</v>
      </c>
      <c r="F41" s="61"/>
      <c r="G41" s="61"/>
      <c r="H41" s="61"/>
      <c r="I41" s="61"/>
      <c r="J41" s="61"/>
      <c r="K41" s="61"/>
      <c r="L41" s="61"/>
      <c r="M41" s="61"/>
      <c r="N41" s="61"/>
      <c r="O41" s="61"/>
      <c r="P41" s="61"/>
      <c r="Q41" s="61"/>
    </row>
    <row r="42" spans="1:17" x14ac:dyDescent="0.25">
      <c r="A42" s="70" t="s">
        <v>38</v>
      </c>
      <c r="C42" s="71">
        <f>SUM(C32:C41)</f>
        <v>9650</v>
      </c>
      <c r="D42" s="72">
        <f t="shared" si="3"/>
        <v>4311.18</v>
      </c>
      <c r="E42" s="73">
        <f>C42-D42</f>
        <v>5338.82</v>
      </c>
      <c r="F42" s="74">
        <f t="shared" ref="F42:Q42" si="5">SUM(F32:F41)</f>
        <v>0</v>
      </c>
      <c r="G42" s="74">
        <f t="shared" si="5"/>
        <v>151.53</v>
      </c>
      <c r="H42" s="74">
        <f t="shared" si="5"/>
        <v>0</v>
      </c>
      <c r="I42" s="74">
        <f t="shared" si="5"/>
        <v>89.64</v>
      </c>
      <c r="J42" s="74">
        <f t="shared" si="5"/>
        <v>0</v>
      </c>
      <c r="K42" s="74">
        <f t="shared" si="5"/>
        <v>159.80000000000001</v>
      </c>
      <c r="L42" s="74">
        <f t="shared" si="5"/>
        <v>1414.01</v>
      </c>
      <c r="M42" s="74">
        <f t="shared" si="5"/>
        <v>796.85</v>
      </c>
      <c r="N42" s="74">
        <f t="shared" si="5"/>
        <v>0</v>
      </c>
      <c r="O42" s="74">
        <f t="shared" si="5"/>
        <v>0</v>
      </c>
      <c r="P42" s="74">
        <f t="shared" si="5"/>
        <v>1296.3499999999999</v>
      </c>
      <c r="Q42" s="74">
        <f t="shared" si="5"/>
        <v>403</v>
      </c>
    </row>
    <row r="43" spans="1:17" s="75" customFormat="1" x14ac:dyDescent="0.25">
      <c r="B43" s="76"/>
      <c r="C43" s="77"/>
      <c r="D43" s="26"/>
      <c r="E43" s="27"/>
      <c r="F43" s="27"/>
      <c r="G43" s="78"/>
      <c r="H43" s="78"/>
      <c r="I43" s="27"/>
      <c r="K43" s="79"/>
    </row>
    <row r="44" spans="1:17" x14ac:dyDescent="0.25">
      <c r="B44" s="24"/>
      <c r="C44" s="25"/>
      <c r="D44" s="26"/>
      <c r="E44" s="27"/>
      <c r="F44" s="27"/>
      <c r="I44" s="27"/>
      <c r="J44" s="4"/>
      <c r="K44" s="23"/>
    </row>
    <row r="45" spans="1:17" x14ac:dyDescent="0.25">
      <c r="A45" s="8" t="s">
        <v>41</v>
      </c>
      <c r="B45" s="28"/>
      <c r="C45" s="29"/>
      <c r="D45" s="30"/>
      <c r="E45" s="30"/>
      <c r="F45" s="30"/>
      <c r="G45" s="30"/>
      <c r="H45" s="30"/>
      <c r="I45" s="30"/>
      <c r="J45" s="31"/>
      <c r="K45" s="23"/>
    </row>
    <row r="46" spans="1:17" ht="27" x14ac:dyDescent="0.25">
      <c r="A46" s="20"/>
      <c r="B46" s="32" t="s">
        <v>12</v>
      </c>
      <c r="C46" s="33" t="s">
        <v>42</v>
      </c>
      <c r="D46" s="34" t="s">
        <v>14</v>
      </c>
      <c r="E46" s="35" t="s">
        <v>15</v>
      </c>
      <c r="F46" s="36" t="s">
        <v>16</v>
      </c>
      <c r="G46" s="37" t="s">
        <v>17</v>
      </c>
      <c r="H46" s="38" t="s">
        <v>18</v>
      </c>
      <c r="I46" s="38" t="s">
        <v>19</v>
      </c>
      <c r="J46" s="39" t="s">
        <v>20</v>
      </c>
      <c r="K46" s="40" t="s">
        <v>21</v>
      </c>
      <c r="L46" s="40" t="s">
        <v>22</v>
      </c>
      <c r="M46" s="40" t="s">
        <v>23</v>
      </c>
      <c r="N46" s="40" t="s">
        <v>24</v>
      </c>
      <c r="O46" s="38" t="s">
        <v>25</v>
      </c>
      <c r="P46" s="38" t="s">
        <v>26</v>
      </c>
      <c r="Q46" s="38" t="s">
        <v>27</v>
      </c>
    </row>
    <row r="47" spans="1:17" x14ac:dyDescent="0.25">
      <c r="A47" s="41">
        <v>10000</v>
      </c>
      <c r="B47" s="42" t="s">
        <v>28</v>
      </c>
      <c r="C47" s="43">
        <v>4325</v>
      </c>
      <c r="D47" s="44">
        <f t="shared" ref="D47:D57" si="6">SUM(F47:Q47)</f>
        <v>2634.99</v>
      </c>
      <c r="E47" s="45">
        <f>C47-D47</f>
        <v>1690.0100000000002</v>
      </c>
      <c r="F47" s="46">
        <v>105</v>
      </c>
      <c r="G47" s="47"/>
      <c r="H47" s="46">
        <v>446.65</v>
      </c>
      <c r="I47" s="46">
        <v>202.2</v>
      </c>
      <c r="J47" s="48">
        <v>987.4</v>
      </c>
      <c r="K47" s="49">
        <v>725.45</v>
      </c>
      <c r="L47" s="49"/>
      <c r="M47" s="49">
        <v>168.29</v>
      </c>
      <c r="N47" s="49"/>
      <c r="O47" s="50"/>
      <c r="P47" s="50"/>
      <c r="Q47" s="51"/>
    </row>
    <row r="48" spans="1:17" ht="27" x14ac:dyDescent="0.25">
      <c r="A48" s="52">
        <v>10001</v>
      </c>
      <c r="B48" s="53" t="s">
        <v>29</v>
      </c>
      <c r="C48" s="80">
        <v>650</v>
      </c>
      <c r="D48" s="55">
        <f t="shared" si="6"/>
        <v>483.46</v>
      </c>
      <c r="E48" s="56">
        <f t="shared" ref="E48:E55" si="7">C48-D48</f>
        <v>166.54000000000002</v>
      </c>
      <c r="F48" s="57"/>
      <c r="G48" s="58"/>
      <c r="H48" s="57"/>
      <c r="I48" s="57"/>
      <c r="J48" s="59"/>
      <c r="K48" s="60"/>
      <c r="L48" s="60"/>
      <c r="M48" s="60"/>
      <c r="N48" s="60">
        <v>35</v>
      </c>
      <c r="P48" s="61">
        <v>70</v>
      </c>
      <c r="Q48" s="9">
        <v>378.46</v>
      </c>
    </row>
    <row r="49" spans="1:17" x14ac:dyDescent="0.25">
      <c r="A49" s="41">
        <v>10002</v>
      </c>
      <c r="B49" s="42" t="s">
        <v>30</v>
      </c>
      <c r="C49" s="62">
        <v>400</v>
      </c>
      <c r="D49" s="44">
        <f t="shared" si="6"/>
        <v>0</v>
      </c>
      <c r="E49" s="45">
        <f t="shared" si="7"/>
        <v>400</v>
      </c>
      <c r="F49" s="63"/>
      <c r="G49" s="64"/>
      <c r="H49" s="46"/>
      <c r="I49" s="46"/>
      <c r="J49" s="46"/>
      <c r="K49" s="49"/>
      <c r="L49" s="49"/>
      <c r="M49" s="49"/>
      <c r="N49" s="49"/>
      <c r="O49" s="50"/>
      <c r="P49" s="50"/>
      <c r="Q49" s="51"/>
    </row>
    <row r="50" spans="1:17" x14ac:dyDescent="0.25">
      <c r="A50" s="4">
        <v>10003</v>
      </c>
      <c r="B50" s="53" t="s">
        <v>31</v>
      </c>
      <c r="C50" s="62">
        <v>100</v>
      </c>
      <c r="D50" s="55">
        <f t="shared" si="6"/>
        <v>0</v>
      </c>
      <c r="E50" s="56">
        <f t="shared" si="7"/>
        <v>100</v>
      </c>
      <c r="F50" s="66"/>
      <c r="G50" s="58"/>
      <c r="H50" s="57"/>
      <c r="I50" s="57"/>
      <c r="J50" s="59"/>
      <c r="K50" s="60"/>
      <c r="L50" s="60"/>
      <c r="M50" s="60"/>
      <c r="N50" s="60"/>
      <c r="O50" s="61"/>
      <c r="P50" s="61"/>
      <c r="Q50" s="9"/>
    </row>
    <row r="51" spans="1:17" x14ac:dyDescent="0.25">
      <c r="A51" s="41">
        <v>10006</v>
      </c>
      <c r="B51" s="67" t="s">
        <v>32</v>
      </c>
      <c r="C51" s="62">
        <v>250</v>
      </c>
      <c r="D51" s="44">
        <f t="shared" si="6"/>
        <v>0</v>
      </c>
      <c r="E51" s="45">
        <f t="shared" si="7"/>
        <v>250</v>
      </c>
      <c r="F51" s="46"/>
      <c r="G51" s="64"/>
      <c r="H51" s="46"/>
      <c r="I51" s="46"/>
      <c r="J51" s="48"/>
      <c r="K51" s="49"/>
      <c r="L51" s="49"/>
      <c r="M51" s="49"/>
      <c r="N51" s="49"/>
      <c r="O51" s="50"/>
      <c r="P51" s="50"/>
      <c r="Q51" s="51"/>
    </row>
    <row r="52" spans="1:17" x14ac:dyDescent="0.25">
      <c r="A52" s="4">
        <v>20001</v>
      </c>
      <c r="B52" s="53" t="s">
        <v>33</v>
      </c>
      <c r="C52" s="62">
        <v>100</v>
      </c>
      <c r="D52" s="55">
        <f t="shared" si="6"/>
        <v>0</v>
      </c>
      <c r="E52" s="56">
        <f t="shared" si="7"/>
        <v>100</v>
      </c>
      <c r="F52" s="57"/>
      <c r="G52" s="58"/>
      <c r="H52" s="57"/>
      <c r="I52" s="57"/>
      <c r="J52" s="59"/>
      <c r="K52" s="60"/>
      <c r="L52" s="60"/>
      <c r="M52" s="60"/>
      <c r="N52" s="60"/>
      <c r="O52" s="61"/>
      <c r="P52" s="61"/>
      <c r="Q52" s="9"/>
    </row>
    <row r="53" spans="1:17" x14ac:dyDescent="0.25">
      <c r="A53" s="41">
        <v>20002</v>
      </c>
      <c r="B53" s="67" t="s">
        <v>34</v>
      </c>
      <c r="C53" s="62">
        <v>100</v>
      </c>
      <c r="D53" s="44">
        <f t="shared" si="6"/>
        <v>0</v>
      </c>
      <c r="E53" s="45">
        <f t="shared" si="7"/>
        <v>100</v>
      </c>
      <c r="F53" s="46"/>
      <c r="G53" s="64"/>
      <c r="H53" s="46"/>
      <c r="I53" s="46"/>
      <c r="J53" s="48"/>
      <c r="K53" s="49"/>
      <c r="L53" s="49"/>
      <c r="M53" s="49"/>
      <c r="N53" s="49"/>
      <c r="O53" s="50"/>
      <c r="P53" s="50"/>
      <c r="Q53" s="51"/>
    </row>
    <row r="54" spans="1:17" x14ac:dyDescent="0.25">
      <c r="A54" s="4">
        <v>20003</v>
      </c>
      <c r="B54" s="53" t="s">
        <v>35</v>
      </c>
      <c r="C54" s="62">
        <v>1400</v>
      </c>
      <c r="D54" s="55">
        <f t="shared" si="6"/>
        <v>1690.02</v>
      </c>
      <c r="E54" s="56">
        <f t="shared" si="7"/>
        <v>-290.02</v>
      </c>
      <c r="F54" s="57">
        <v>712</v>
      </c>
      <c r="G54" s="58">
        <v>118</v>
      </c>
      <c r="H54" s="57"/>
      <c r="I54" s="57"/>
      <c r="J54" s="59">
        <v>94.1</v>
      </c>
      <c r="K54" s="60"/>
      <c r="L54" s="60"/>
      <c r="M54" s="60"/>
      <c r="N54" s="60"/>
      <c r="O54" s="61"/>
      <c r="P54" s="61">
        <v>502.91</v>
      </c>
      <c r="Q54" s="9">
        <v>263.01</v>
      </c>
    </row>
    <row r="55" spans="1:17" x14ac:dyDescent="0.25">
      <c r="A55" s="41">
        <v>30001</v>
      </c>
      <c r="B55" s="67" t="s">
        <v>36</v>
      </c>
      <c r="C55" s="62">
        <v>1225</v>
      </c>
      <c r="D55" s="44">
        <f t="shared" si="6"/>
        <v>1461.02</v>
      </c>
      <c r="E55" s="45">
        <f t="shared" si="7"/>
        <v>-236.01999999999998</v>
      </c>
      <c r="F55" s="46"/>
      <c r="G55" s="64"/>
      <c r="H55" s="46"/>
      <c r="I55" s="46"/>
      <c r="J55" s="48"/>
      <c r="K55" s="49"/>
      <c r="L55" s="49"/>
      <c r="M55" s="49">
        <v>1196.27</v>
      </c>
      <c r="N55" s="68">
        <v>264.75</v>
      </c>
      <c r="O55" s="50"/>
      <c r="P55" s="50"/>
      <c r="Q55" s="51"/>
    </row>
    <row r="56" spans="1:17" x14ac:dyDescent="0.25">
      <c r="A56" s="20">
        <v>30003</v>
      </c>
      <c r="B56" s="20" t="s">
        <v>37</v>
      </c>
      <c r="C56" s="81">
        <v>1100</v>
      </c>
      <c r="D56" s="55">
        <f t="shared" si="6"/>
        <v>1531.88</v>
      </c>
      <c r="E56" s="56">
        <f>C56-D56</f>
        <v>-431.88000000000011</v>
      </c>
      <c r="F56" s="61"/>
      <c r="G56" s="61">
        <v>960</v>
      </c>
      <c r="H56" s="61"/>
      <c r="I56" s="61"/>
      <c r="J56" s="61">
        <v>125</v>
      </c>
      <c r="K56" s="61"/>
      <c r="L56" s="61"/>
      <c r="M56" s="61"/>
      <c r="N56" s="61"/>
      <c r="O56" s="61"/>
      <c r="P56" s="61">
        <v>446.88</v>
      </c>
      <c r="Q56" s="61"/>
    </row>
    <row r="57" spans="1:17" x14ac:dyDescent="0.25">
      <c r="A57" s="70" t="s">
        <v>38</v>
      </c>
      <c r="C57" s="71">
        <f>SUM(C47:C56)</f>
        <v>9650</v>
      </c>
      <c r="D57" s="72">
        <f t="shared" si="6"/>
        <v>7801.3700000000008</v>
      </c>
      <c r="E57" s="73">
        <f>C57-D57</f>
        <v>1848.6299999999992</v>
      </c>
      <c r="F57" s="74">
        <f t="shared" ref="F57:Q57" si="8">SUM(F47:F56)</f>
        <v>817</v>
      </c>
      <c r="G57" s="74">
        <f t="shared" si="8"/>
        <v>1078</v>
      </c>
      <c r="H57" s="74">
        <f t="shared" si="8"/>
        <v>446.65</v>
      </c>
      <c r="I57" s="74">
        <f t="shared" si="8"/>
        <v>202.2</v>
      </c>
      <c r="J57" s="74">
        <f t="shared" si="8"/>
        <v>1206.5</v>
      </c>
      <c r="K57" s="74">
        <f t="shared" si="8"/>
        <v>725.45</v>
      </c>
      <c r="L57" s="74">
        <f t="shared" si="8"/>
        <v>0</v>
      </c>
      <c r="M57" s="74">
        <f t="shared" si="8"/>
        <v>1364.56</v>
      </c>
      <c r="N57" s="74">
        <f t="shared" si="8"/>
        <v>299.75</v>
      </c>
      <c r="O57" s="74">
        <f t="shared" si="8"/>
        <v>0</v>
      </c>
      <c r="P57" s="74">
        <f t="shared" si="8"/>
        <v>1019.7900000000001</v>
      </c>
      <c r="Q57" s="74">
        <f t="shared" si="8"/>
        <v>641.47</v>
      </c>
    </row>
    <row r="58" spans="1:17" x14ac:dyDescent="0.25">
      <c r="A58" s="70"/>
      <c r="C58" s="57"/>
      <c r="D58" s="82"/>
      <c r="E58" s="83"/>
      <c r="F58" s="57"/>
      <c r="G58" s="57"/>
      <c r="H58" s="57"/>
      <c r="I58" s="57"/>
      <c r="J58" s="57"/>
      <c r="K58" s="57"/>
      <c r="L58" s="57"/>
      <c r="M58" s="57"/>
      <c r="N58" s="57"/>
      <c r="O58" s="57"/>
      <c r="P58" s="57"/>
      <c r="Q58" s="57"/>
    </row>
    <row r="59" spans="1:17" x14ac:dyDescent="0.25">
      <c r="B59" s="24"/>
      <c r="C59" s="25"/>
      <c r="D59" s="26"/>
      <c r="E59" s="27"/>
      <c r="F59" s="27"/>
      <c r="I59" s="27"/>
      <c r="J59" s="4"/>
      <c r="K59" s="23"/>
    </row>
    <row r="60" spans="1:17" x14ac:dyDescent="0.25">
      <c r="A60" s="8" t="s">
        <v>43</v>
      </c>
      <c r="B60" s="28"/>
      <c r="C60" s="29"/>
      <c r="D60" s="30"/>
      <c r="E60" s="30"/>
      <c r="F60" s="30"/>
      <c r="G60" s="30"/>
      <c r="H60" s="30"/>
      <c r="I60" s="30"/>
      <c r="J60" s="31"/>
      <c r="K60" s="23"/>
    </row>
    <row r="61" spans="1:17" ht="27" x14ac:dyDescent="0.25">
      <c r="A61" s="20"/>
      <c r="B61" s="32" t="s">
        <v>12</v>
      </c>
      <c r="C61" s="33" t="s">
        <v>44</v>
      </c>
      <c r="D61" s="34" t="s">
        <v>14</v>
      </c>
      <c r="E61" s="35" t="s">
        <v>15</v>
      </c>
      <c r="F61" s="36" t="s">
        <v>16</v>
      </c>
      <c r="G61" s="37" t="s">
        <v>17</v>
      </c>
      <c r="H61" s="38" t="s">
        <v>18</v>
      </c>
      <c r="I61" s="38" t="s">
        <v>19</v>
      </c>
      <c r="J61" s="39" t="s">
        <v>20</v>
      </c>
      <c r="K61" s="40" t="s">
        <v>21</v>
      </c>
      <c r="L61" s="40" t="s">
        <v>22</v>
      </c>
      <c r="M61" s="40" t="s">
        <v>23</v>
      </c>
      <c r="N61" s="40" t="s">
        <v>24</v>
      </c>
      <c r="O61" s="38" t="s">
        <v>25</v>
      </c>
      <c r="P61" s="38" t="s">
        <v>26</v>
      </c>
      <c r="Q61" s="38" t="s">
        <v>27</v>
      </c>
    </row>
    <row r="62" spans="1:17" x14ac:dyDescent="0.25">
      <c r="A62" s="41">
        <v>10000</v>
      </c>
      <c r="B62" s="42" t="s">
        <v>28</v>
      </c>
      <c r="C62" s="43">
        <v>4325</v>
      </c>
      <c r="D62" s="44">
        <f>F62+G62+H62+I62+J62+K62+L62+M62+N62+O62+P62+Q62</f>
        <v>1568.91</v>
      </c>
      <c r="E62" s="45">
        <f>C62-D62</f>
        <v>2756.09</v>
      </c>
      <c r="F62" s="46">
        <f>97.99-86</f>
        <v>11.989999999999995</v>
      </c>
      <c r="G62" s="47">
        <f>-31.33+25.85</f>
        <v>-5.4799999999999969</v>
      </c>
      <c r="H62" s="46"/>
      <c r="I62" s="46"/>
      <c r="J62" s="48"/>
      <c r="K62" s="49"/>
      <c r="L62" s="49"/>
      <c r="M62" s="49"/>
      <c r="N62" s="49"/>
      <c r="O62" s="50"/>
      <c r="P62" s="50"/>
      <c r="Q62" s="51">
        <v>1562.4</v>
      </c>
    </row>
    <row r="63" spans="1:17" ht="27" x14ac:dyDescent="0.25">
      <c r="A63" s="52">
        <v>10001</v>
      </c>
      <c r="B63" s="53" t="s">
        <v>29</v>
      </c>
      <c r="C63" s="80">
        <v>650</v>
      </c>
      <c r="D63" s="55">
        <f t="shared" ref="D63:D70" si="9">F63+G63+H63+I63+J63+K63+L63+M63+N63+O63+P63+Q63</f>
        <v>70</v>
      </c>
      <c r="E63" s="56">
        <f t="shared" ref="E63:E70" si="10">C63-D63</f>
        <v>580</v>
      </c>
      <c r="F63" s="57"/>
      <c r="G63" s="58"/>
      <c r="H63" s="57"/>
      <c r="I63" s="57"/>
      <c r="J63" s="59"/>
      <c r="K63" s="60"/>
      <c r="L63" s="60"/>
      <c r="M63" s="60"/>
      <c r="N63" s="60"/>
      <c r="O63" s="61"/>
      <c r="P63" s="61">
        <f>35+35</f>
        <v>70</v>
      </c>
      <c r="Q63" s="9"/>
    </row>
    <row r="64" spans="1:17" x14ac:dyDescent="0.25">
      <c r="A64" s="41">
        <v>10002</v>
      </c>
      <c r="B64" s="42" t="s">
        <v>30</v>
      </c>
      <c r="C64" s="62">
        <v>400</v>
      </c>
      <c r="D64" s="44">
        <f t="shared" si="9"/>
        <v>77.260000000000005</v>
      </c>
      <c r="E64" s="45">
        <f t="shared" si="10"/>
        <v>322.74</v>
      </c>
      <c r="F64" s="63"/>
      <c r="G64" s="64"/>
      <c r="H64" s="46"/>
      <c r="I64" s="46"/>
      <c r="J64" s="46">
        <f>67+10.26</f>
        <v>77.260000000000005</v>
      </c>
      <c r="K64" s="49"/>
      <c r="L64" s="49"/>
      <c r="M64" s="49"/>
      <c r="N64" s="49"/>
      <c r="O64" s="50"/>
      <c r="P64" s="50"/>
      <c r="Q64" s="51"/>
    </row>
    <row r="65" spans="1:17" x14ac:dyDescent="0.25">
      <c r="A65" s="4">
        <v>10003</v>
      </c>
      <c r="B65" s="53" t="s">
        <v>31</v>
      </c>
      <c r="C65" s="62">
        <v>100</v>
      </c>
      <c r="D65" s="55">
        <f t="shared" si="9"/>
        <v>0</v>
      </c>
      <c r="E65" s="56">
        <f t="shared" si="10"/>
        <v>100</v>
      </c>
      <c r="F65" s="66"/>
      <c r="G65" s="58"/>
      <c r="H65" s="57"/>
      <c r="I65" s="57"/>
      <c r="J65" s="59"/>
      <c r="K65" s="60"/>
      <c r="L65" s="60"/>
      <c r="M65" s="60"/>
      <c r="N65" s="60"/>
      <c r="O65" s="61"/>
      <c r="P65" s="61"/>
      <c r="Q65" s="9"/>
    </row>
    <row r="66" spans="1:17" x14ac:dyDescent="0.25">
      <c r="A66" s="41">
        <v>10006</v>
      </c>
      <c r="B66" s="67" t="s">
        <v>32</v>
      </c>
      <c r="C66" s="62">
        <v>250</v>
      </c>
      <c r="D66" s="44">
        <f t="shared" si="9"/>
        <v>660</v>
      </c>
      <c r="E66" s="45">
        <f t="shared" si="10"/>
        <v>-410</v>
      </c>
      <c r="F66" s="46"/>
      <c r="G66" s="64"/>
      <c r="H66" s="46"/>
      <c r="I66" s="46">
        <v>660</v>
      </c>
      <c r="J66" s="48"/>
      <c r="K66" s="49"/>
      <c r="L66" s="49"/>
      <c r="M66" s="49"/>
      <c r="N66" s="49"/>
      <c r="O66" s="50"/>
      <c r="P66" s="50"/>
      <c r="Q66" s="51"/>
    </row>
    <row r="67" spans="1:17" x14ac:dyDescent="0.25">
      <c r="A67" s="4">
        <v>20001</v>
      </c>
      <c r="B67" s="53" t="s">
        <v>33</v>
      </c>
      <c r="C67" s="62">
        <v>100</v>
      </c>
      <c r="D67" s="55">
        <f t="shared" si="9"/>
        <v>0</v>
      </c>
      <c r="E67" s="56">
        <f t="shared" si="10"/>
        <v>100</v>
      </c>
      <c r="F67" s="57"/>
      <c r="G67" s="58"/>
      <c r="H67" s="57"/>
      <c r="I67" s="57"/>
      <c r="J67" s="59"/>
      <c r="K67" s="60"/>
      <c r="L67" s="60"/>
      <c r="M67" s="60"/>
      <c r="N67" s="60"/>
      <c r="O67" s="61"/>
      <c r="P67" s="61"/>
      <c r="Q67" s="9"/>
    </row>
    <row r="68" spans="1:17" x14ac:dyDescent="0.25">
      <c r="A68" s="41">
        <v>20002</v>
      </c>
      <c r="B68" s="67" t="s">
        <v>34</v>
      </c>
      <c r="C68" s="62">
        <v>100</v>
      </c>
      <c r="D68" s="44">
        <f t="shared" si="9"/>
        <v>0</v>
      </c>
      <c r="E68" s="45">
        <f t="shared" si="10"/>
        <v>100</v>
      </c>
      <c r="F68" s="46"/>
      <c r="G68" s="64"/>
      <c r="H68" s="46"/>
      <c r="I68" s="46"/>
      <c r="J68" s="48"/>
      <c r="K68" s="49"/>
      <c r="L68" s="49"/>
      <c r="M68" s="49"/>
      <c r="N68" s="49"/>
      <c r="O68" s="50"/>
      <c r="P68" s="50"/>
      <c r="Q68" s="51"/>
    </row>
    <row r="69" spans="1:17" x14ac:dyDescent="0.25">
      <c r="A69" s="4">
        <v>20003</v>
      </c>
      <c r="B69" s="53" t="s">
        <v>35</v>
      </c>
      <c r="C69" s="62">
        <v>1400</v>
      </c>
      <c r="D69" s="55">
        <f t="shared" si="9"/>
        <v>1731.01</v>
      </c>
      <c r="E69" s="56">
        <f t="shared" si="10"/>
        <v>-331.01</v>
      </c>
      <c r="F69" s="57"/>
      <c r="G69" s="58"/>
      <c r="H69" s="57"/>
      <c r="I69" s="57"/>
      <c r="J69" s="59"/>
      <c r="K69" s="60">
        <v>820</v>
      </c>
      <c r="L69" s="60"/>
      <c r="M69" s="60">
        <v>434.01</v>
      </c>
      <c r="N69" s="60"/>
      <c r="O69" s="61"/>
      <c r="P69" s="61"/>
      <c r="Q69" s="9">
        <f>295+140+22+20</f>
        <v>477</v>
      </c>
    </row>
    <row r="70" spans="1:17" x14ac:dyDescent="0.25">
      <c r="A70" s="41">
        <v>30001</v>
      </c>
      <c r="B70" s="67" t="s">
        <v>36</v>
      </c>
      <c r="C70" s="62">
        <v>225</v>
      </c>
      <c r="D70" s="44">
        <f t="shared" si="9"/>
        <v>2212.08</v>
      </c>
      <c r="E70" s="45">
        <f t="shared" si="10"/>
        <v>-1987.08</v>
      </c>
      <c r="F70" s="46"/>
      <c r="G70" s="64"/>
      <c r="H70" s="46"/>
      <c r="I70" s="46"/>
      <c r="J70" s="48">
        <f>252+1457.4+36.5+9.5+18.8</f>
        <v>1774.2</v>
      </c>
      <c r="K70" s="49">
        <f>159.3+104</f>
        <v>263.3</v>
      </c>
      <c r="L70" s="49">
        <f>25+24.6</f>
        <v>49.6</v>
      </c>
      <c r="M70" s="49"/>
      <c r="N70" s="49"/>
      <c r="O70" s="50"/>
      <c r="P70" s="50"/>
      <c r="Q70" s="51">
        <f>20.49+19.46+20.49+20.49+23.56+20.49</f>
        <v>124.97999999999999</v>
      </c>
    </row>
    <row r="71" spans="1:17" x14ac:dyDescent="0.25">
      <c r="A71" s="20">
        <v>30003</v>
      </c>
      <c r="B71" s="20" t="s">
        <v>37</v>
      </c>
      <c r="C71" s="81">
        <v>2100</v>
      </c>
      <c r="D71" s="55">
        <f>F71+G71+H71+I71+J71+K71+L71+M71+N71+O71+P71+Q71</f>
        <v>1057.98</v>
      </c>
      <c r="E71" s="56">
        <f>C71-D71</f>
        <v>1042.02</v>
      </c>
      <c r="F71" s="61"/>
      <c r="G71" s="61"/>
      <c r="H71" s="61"/>
      <c r="I71" s="61"/>
      <c r="J71" s="61"/>
      <c r="K71" s="61"/>
      <c r="L71" s="61"/>
      <c r="M71" s="61">
        <v>275</v>
      </c>
      <c r="N71" s="61">
        <v>135.46</v>
      </c>
      <c r="O71" s="61"/>
      <c r="P71" s="61"/>
      <c r="Q71" s="61">
        <f>104.51+99.29+104.51+104.51+120.19+104.51+10</f>
        <v>647.52</v>
      </c>
    </row>
    <row r="72" spans="1:17" x14ac:dyDescent="0.25">
      <c r="A72" s="70" t="s">
        <v>38</v>
      </c>
      <c r="C72" s="71">
        <f>SUM(C62:C71)</f>
        <v>9650</v>
      </c>
      <c r="D72" s="72">
        <f>F72+G72+H72+I72+J72+K72+L72+M72+N72+O72+P72+Q72</f>
        <v>7377.24</v>
      </c>
      <c r="E72" s="73">
        <f>C72-D72</f>
        <v>2272.7600000000002</v>
      </c>
      <c r="F72" s="74">
        <f t="shared" ref="F72:Q72" si="11">SUM(F62:F71)</f>
        <v>11.989999999999995</v>
      </c>
      <c r="G72" s="74">
        <f t="shared" si="11"/>
        <v>-5.4799999999999969</v>
      </c>
      <c r="H72" s="74">
        <f t="shared" si="11"/>
        <v>0</v>
      </c>
      <c r="I72" s="74">
        <f t="shared" si="11"/>
        <v>660</v>
      </c>
      <c r="J72" s="74">
        <f t="shared" si="11"/>
        <v>1851.46</v>
      </c>
      <c r="K72" s="74">
        <f t="shared" si="11"/>
        <v>1083.3</v>
      </c>
      <c r="L72" s="74">
        <f t="shared" si="11"/>
        <v>49.6</v>
      </c>
      <c r="M72" s="74">
        <f t="shared" si="11"/>
        <v>709.01</v>
      </c>
      <c r="N72" s="74">
        <f t="shared" si="11"/>
        <v>135.46</v>
      </c>
      <c r="O72" s="74">
        <f t="shared" si="11"/>
        <v>0</v>
      </c>
      <c r="P72" s="74">
        <f t="shared" si="11"/>
        <v>70</v>
      </c>
      <c r="Q72" s="74">
        <f t="shared" si="11"/>
        <v>2811.9</v>
      </c>
    </row>
    <row r="73" spans="1:17" x14ac:dyDescent="0.25">
      <c r="A73" s="8"/>
      <c r="B73" s="28"/>
      <c r="C73" s="29"/>
      <c r="D73" s="30"/>
      <c r="E73" s="30"/>
      <c r="F73" s="30"/>
      <c r="G73" s="30"/>
      <c r="H73" s="30"/>
      <c r="I73" s="30"/>
      <c r="J73" s="31"/>
      <c r="K73" s="23"/>
    </row>
    <row r="74" spans="1:17" x14ac:dyDescent="0.25">
      <c r="A74" s="8"/>
      <c r="B74" s="28"/>
      <c r="C74" s="29"/>
      <c r="D74" s="30"/>
      <c r="E74" s="30"/>
      <c r="F74" s="30"/>
      <c r="G74" s="30"/>
      <c r="H74" s="30"/>
      <c r="I74" s="30"/>
      <c r="J74" s="31"/>
      <c r="K74" s="23"/>
    </row>
    <row r="75" spans="1:17" x14ac:dyDescent="0.25">
      <c r="A75" s="8" t="s">
        <v>45</v>
      </c>
      <c r="B75" s="28"/>
      <c r="C75" s="29"/>
      <c r="D75" s="30"/>
      <c r="E75" s="30"/>
      <c r="F75" s="30"/>
      <c r="G75" s="30"/>
      <c r="H75" s="30"/>
      <c r="I75" s="30"/>
      <c r="J75" s="31"/>
      <c r="K75" s="23"/>
    </row>
    <row r="76" spans="1:17" ht="27" x14ac:dyDescent="0.25">
      <c r="A76" s="20"/>
      <c r="B76" s="32" t="s">
        <v>12</v>
      </c>
      <c r="C76" s="33" t="s">
        <v>46</v>
      </c>
      <c r="D76" s="34" t="s">
        <v>14</v>
      </c>
      <c r="E76" s="84" t="s">
        <v>15</v>
      </c>
      <c r="F76" s="36" t="s">
        <v>16</v>
      </c>
      <c r="G76" s="37" t="s">
        <v>17</v>
      </c>
      <c r="H76" s="38" t="s">
        <v>18</v>
      </c>
      <c r="I76" s="38" t="s">
        <v>19</v>
      </c>
      <c r="J76" s="39" t="s">
        <v>20</v>
      </c>
      <c r="K76" s="40" t="s">
        <v>21</v>
      </c>
      <c r="L76" s="40" t="s">
        <v>22</v>
      </c>
      <c r="M76" s="40" t="s">
        <v>23</v>
      </c>
      <c r="N76" s="40" t="s">
        <v>24</v>
      </c>
      <c r="O76" s="38" t="s">
        <v>25</v>
      </c>
      <c r="P76" s="38" t="s">
        <v>26</v>
      </c>
      <c r="Q76" s="38" t="s">
        <v>27</v>
      </c>
    </row>
    <row r="77" spans="1:17" x14ac:dyDescent="0.25">
      <c r="A77" s="41">
        <v>10000</v>
      </c>
      <c r="B77" s="42" t="s">
        <v>28</v>
      </c>
      <c r="C77" s="43">
        <v>1500</v>
      </c>
      <c r="D77" s="44">
        <f>F77+G77+H77+I77+J77+K77+L77+M77+N77+O77+P77+Q77</f>
        <v>947.26</v>
      </c>
      <c r="E77" s="45">
        <f>C77-D77</f>
        <v>552.74</v>
      </c>
      <c r="F77" s="46"/>
      <c r="G77" s="47"/>
      <c r="H77" s="46"/>
      <c r="I77" s="46"/>
      <c r="J77" s="48"/>
      <c r="K77" s="49">
        <v>29.28</v>
      </c>
      <c r="L77" s="49">
        <f>39.99+29.95+39.99+27.5+27.5+29.95+39.99+27.5+29.95+27.5+26.95+29.95+27.5+27.5+29.95+26.95</f>
        <v>488.61999999999995</v>
      </c>
      <c r="M77" s="49">
        <f>347.71+29.95</f>
        <v>377.65999999999997</v>
      </c>
      <c r="N77" s="49"/>
      <c r="O77" s="50"/>
      <c r="P77" s="50"/>
      <c r="Q77" s="51">
        <f>25.85+25.85</f>
        <v>51.7</v>
      </c>
    </row>
    <row r="78" spans="1:17" ht="27" x14ac:dyDescent="0.25">
      <c r="A78" s="52">
        <v>10001</v>
      </c>
      <c r="B78" s="53" t="s">
        <v>29</v>
      </c>
      <c r="C78" s="80">
        <v>100</v>
      </c>
      <c r="D78" s="55">
        <f t="shared" ref="D78:D85" si="12">F78+G78+H78+I78+J78+K78+L78+M78+N78+O78+P78+Q78</f>
        <v>0</v>
      </c>
      <c r="E78" s="56">
        <f t="shared" ref="E78:E85" si="13">C78-D78</f>
        <v>100</v>
      </c>
      <c r="F78" s="57"/>
      <c r="G78" s="58"/>
      <c r="H78" s="57"/>
      <c r="I78" s="57"/>
      <c r="J78" s="59"/>
      <c r="K78" s="60"/>
      <c r="L78" s="60"/>
      <c r="M78" s="60"/>
      <c r="N78" s="60"/>
      <c r="O78" s="61"/>
      <c r="P78" s="61"/>
      <c r="Q78" s="9"/>
    </row>
    <row r="79" spans="1:17" x14ac:dyDescent="0.25">
      <c r="A79" s="41">
        <v>10002</v>
      </c>
      <c r="B79" s="42" t="s">
        <v>30</v>
      </c>
      <c r="C79" s="62">
        <v>500</v>
      </c>
      <c r="D79" s="44">
        <f t="shared" si="12"/>
        <v>90</v>
      </c>
      <c r="E79" s="45">
        <f t="shared" si="13"/>
        <v>410</v>
      </c>
      <c r="F79" s="63"/>
      <c r="G79" s="64"/>
      <c r="H79" s="46"/>
      <c r="I79" s="46"/>
      <c r="J79" s="48"/>
      <c r="K79" s="49">
        <v>50</v>
      </c>
      <c r="L79" s="49">
        <v>40</v>
      </c>
      <c r="M79" s="49"/>
      <c r="N79" s="49"/>
      <c r="O79" s="50"/>
      <c r="P79" s="50"/>
      <c r="Q79" s="51"/>
    </row>
    <row r="80" spans="1:17" x14ac:dyDescent="0.25">
      <c r="A80" s="4">
        <v>10003</v>
      </c>
      <c r="B80" s="53" t="s">
        <v>31</v>
      </c>
      <c r="C80" s="62">
        <v>100</v>
      </c>
      <c r="D80" s="55">
        <f t="shared" si="12"/>
        <v>0</v>
      </c>
      <c r="E80" s="56">
        <f t="shared" si="13"/>
        <v>100</v>
      </c>
      <c r="F80" s="66"/>
      <c r="G80" s="58"/>
      <c r="H80" s="57"/>
      <c r="I80" s="57"/>
      <c r="J80" s="59"/>
      <c r="K80" s="60"/>
      <c r="L80" s="60"/>
      <c r="M80" s="60"/>
      <c r="N80" s="60"/>
      <c r="O80" s="61"/>
      <c r="P80" s="61"/>
      <c r="Q80" s="9"/>
    </row>
    <row r="81" spans="1:18" x14ac:dyDescent="0.25">
      <c r="A81" s="41">
        <v>10006</v>
      </c>
      <c r="B81" s="67" t="s">
        <v>32</v>
      </c>
      <c r="C81" s="62">
        <v>600</v>
      </c>
      <c r="D81" s="44">
        <f t="shared" si="12"/>
        <v>0</v>
      </c>
      <c r="E81" s="45">
        <f t="shared" si="13"/>
        <v>600</v>
      </c>
      <c r="F81" s="46"/>
      <c r="G81" s="64"/>
      <c r="H81" s="46"/>
      <c r="I81" s="46"/>
      <c r="J81" s="48"/>
      <c r="K81" s="49"/>
      <c r="L81" s="49"/>
      <c r="M81" s="49"/>
      <c r="N81" s="49"/>
      <c r="O81" s="50"/>
      <c r="P81" s="50"/>
      <c r="Q81" s="51"/>
    </row>
    <row r="82" spans="1:18" x14ac:dyDescent="0.25">
      <c r="A82" s="4">
        <v>20001</v>
      </c>
      <c r="B82" s="53" t="s">
        <v>47</v>
      </c>
      <c r="C82" s="62">
        <v>100</v>
      </c>
      <c r="D82" s="55">
        <f t="shared" si="12"/>
        <v>0</v>
      </c>
      <c r="E82" s="56">
        <f t="shared" si="13"/>
        <v>100</v>
      </c>
      <c r="F82" s="57"/>
      <c r="G82" s="58"/>
      <c r="H82" s="57"/>
      <c r="I82" s="57"/>
      <c r="J82" s="59"/>
      <c r="K82" s="60"/>
      <c r="L82" s="60"/>
      <c r="M82" s="60"/>
      <c r="N82" s="60"/>
      <c r="O82" s="61"/>
      <c r="P82" s="61"/>
      <c r="Q82" s="9"/>
    </row>
    <row r="83" spans="1:18" x14ac:dyDescent="0.25">
      <c r="A83" s="41">
        <v>20002</v>
      </c>
      <c r="B83" s="67" t="s">
        <v>48</v>
      </c>
      <c r="C83" s="62">
        <v>100</v>
      </c>
      <c r="D83" s="44">
        <f t="shared" si="12"/>
        <v>0</v>
      </c>
      <c r="E83" s="45">
        <f t="shared" si="13"/>
        <v>100</v>
      </c>
      <c r="F83" s="46"/>
      <c r="G83" s="64"/>
      <c r="H83" s="46"/>
      <c r="I83" s="46"/>
      <c r="J83" s="48"/>
      <c r="K83" s="49"/>
      <c r="L83" s="49"/>
      <c r="M83" s="49"/>
      <c r="N83" s="49"/>
      <c r="O83" s="50"/>
      <c r="P83" s="50"/>
      <c r="Q83" s="51"/>
    </row>
    <row r="84" spans="1:18" x14ac:dyDescent="0.25">
      <c r="A84" s="4">
        <v>20003</v>
      </c>
      <c r="B84" s="53" t="s">
        <v>35</v>
      </c>
      <c r="C84" s="62">
        <v>2200</v>
      </c>
      <c r="D84" s="55">
        <f>F84+G84+H84+I84+J84+K84+L84+M84+N84+O84+P84+Q84</f>
        <v>737.31</v>
      </c>
      <c r="E84" s="56">
        <f t="shared" si="13"/>
        <v>1462.69</v>
      </c>
      <c r="F84" s="57"/>
      <c r="G84" s="58"/>
      <c r="H84" s="57"/>
      <c r="I84" s="57"/>
      <c r="J84" s="59"/>
      <c r="K84" s="60"/>
      <c r="L84" s="60">
        <v>488.32</v>
      </c>
      <c r="M84" s="60"/>
      <c r="N84" s="60"/>
      <c r="O84" s="61"/>
      <c r="P84" s="61"/>
      <c r="Q84" s="4">
        <f>151+97.99</f>
        <v>248.99</v>
      </c>
    </row>
    <row r="85" spans="1:18" x14ac:dyDescent="0.25">
      <c r="A85" s="41">
        <v>30001</v>
      </c>
      <c r="B85" s="67" t="s">
        <v>36</v>
      </c>
      <c r="C85" s="62">
        <v>2500</v>
      </c>
      <c r="D85" s="44">
        <f t="shared" si="12"/>
        <v>207.57</v>
      </c>
      <c r="E85" s="45">
        <f t="shared" si="13"/>
        <v>2292.4299999999998</v>
      </c>
      <c r="F85" s="46"/>
      <c r="G85" s="64"/>
      <c r="H85" s="46"/>
      <c r="I85" s="46"/>
      <c r="J85" s="48">
        <v>187.57</v>
      </c>
      <c r="K85" s="49">
        <v>20</v>
      </c>
      <c r="L85" s="49"/>
      <c r="M85" s="49"/>
      <c r="N85" s="49"/>
      <c r="O85" s="50"/>
      <c r="P85" s="50"/>
      <c r="Q85" s="51"/>
    </row>
    <row r="86" spans="1:18" ht="15" x14ac:dyDescent="0.25">
      <c r="A86" s="4">
        <v>30002</v>
      </c>
      <c r="B86" s="53" t="s">
        <v>49</v>
      </c>
      <c r="C86" s="85">
        <v>450</v>
      </c>
      <c r="D86" s="55">
        <f>F86+G86+H86+I86+J86+K86+L86+M86+N86+O86+P86+Q86</f>
        <v>0</v>
      </c>
      <c r="E86" s="56">
        <f>C86-D86</f>
        <v>450</v>
      </c>
      <c r="F86" s="57"/>
      <c r="G86" s="58"/>
      <c r="H86" s="57"/>
      <c r="I86" s="4"/>
      <c r="J86" s="59"/>
      <c r="K86" s="60"/>
      <c r="L86" s="60"/>
      <c r="M86" s="60"/>
      <c r="N86" s="60"/>
      <c r="O86" s="61"/>
      <c r="P86" s="61"/>
      <c r="Q86" s="9"/>
      <c r="R86"/>
    </row>
    <row r="87" spans="1:18" ht="15" x14ac:dyDescent="0.25">
      <c r="A87" s="86">
        <v>30003</v>
      </c>
      <c r="B87" s="86" t="s">
        <v>37</v>
      </c>
      <c r="C87" s="81">
        <v>1500</v>
      </c>
      <c r="D87" s="44">
        <f>F87+G87+H87+I87+J87+K87+L87+M87+N87+O87+P87+Q87</f>
        <v>3001.8</v>
      </c>
      <c r="E87" s="45">
        <f>C87-D87</f>
        <v>-1501.8000000000002</v>
      </c>
      <c r="F87" s="50">
        <v>95</v>
      </c>
      <c r="G87" s="50"/>
      <c r="H87" s="50">
        <f>190+403.75+1279.78</f>
        <v>1873.53</v>
      </c>
      <c r="I87" s="50"/>
      <c r="J87" s="50"/>
      <c r="K87" s="50"/>
      <c r="L87" s="50"/>
      <c r="M87" s="50"/>
      <c r="N87" s="50">
        <f>118.75+713.37</f>
        <v>832.12</v>
      </c>
      <c r="O87" s="50"/>
      <c r="P87" s="50"/>
      <c r="Q87" s="51">
        <f>118.75+82.4</f>
        <v>201.15</v>
      </c>
      <c r="R87"/>
    </row>
    <row r="88" spans="1:18" ht="15" x14ac:dyDescent="0.25">
      <c r="A88" s="70" t="s">
        <v>38</v>
      </c>
      <c r="C88" s="71">
        <f>SUM(C77:C87)</f>
        <v>9650</v>
      </c>
      <c r="D88" s="72">
        <f>F88+G88+H88+I88+J88+K88+L88+M88+N88+O88+P88+Q88</f>
        <v>4983.9399999999996</v>
      </c>
      <c r="E88" s="73">
        <f>SUM(E77:E87)</f>
        <v>4666.0600000000004</v>
      </c>
      <c r="F88" s="74">
        <f>SUM(F77:F87)</f>
        <v>95</v>
      </c>
      <c r="G88" s="74">
        <f t="shared" ref="G88:P88" si="14">SUM(G77:G87)</f>
        <v>0</v>
      </c>
      <c r="H88" s="74">
        <f t="shared" si="14"/>
        <v>1873.53</v>
      </c>
      <c r="I88" s="74">
        <f t="shared" si="14"/>
        <v>0</v>
      </c>
      <c r="J88" s="74">
        <f t="shared" si="14"/>
        <v>187.57</v>
      </c>
      <c r="K88" s="74">
        <f t="shared" si="14"/>
        <v>99.28</v>
      </c>
      <c r="L88" s="74">
        <f t="shared" si="14"/>
        <v>1016.9399999999998</v>
      </c>
      <c r="M88" s="74">
        <f t="shared" si="14"/>
        <v>377.65999999999997</v>
      </c>
      <c r="N88" s="74">
        <f t="shared" si="14"/>
        <v>832.12</v>
      </c>
      <c r="O88" s="74">
        <f t="shared" si="14"/>
        <v>0</v>
      </c>
      <c r="P88" s="74">
        <f t="shared" si="14"/>
        <v>0</v>
      </c>
      <c r="Q88" s="74">
        <f>SUM(Q77:Q87)</f>
        <v>501.84000000000003</v>
      </c>
      <c r="R88"/>
    </row>
    <row r="89" spans="1:18" x14ac:dyDescent="0.25">
      <c r="A89" s="8"/>
      <c r="B89" s="28"/>
      <c r="C89" s="29"/>
      <c r="D89" s="30"/>
      <c r="E89" s="30"/>
      <c r="F89" s="30"/>
      <c r="G89" s="30"/>
      <c r="H89" s="30"/>
      <c r="I89" s="30"/>
      <c r="J89" s="31"/>
      <c r="K89" s="23"/>
    </row>
    <row r="90" spans="1:18" x14ac:dyDescent="0.25">
      <c r="A90" s="8"/>
      <c r="B90" s="28"/>
      <c r="C90" s="29"/>
      <c r="D90" s="30"/>
      <c r="E90" s="30"/>
      <c r="F90" s="30"/>
      <c r="G90" s="30"/>
      <c r="H90" s="30"/>
      <c r="I90" s="30"/>
      <c r="J90" s="31"/>
      <c r="K90" s="23"/>
    </row>
    <row r="91" spans="1:18" x14ac:dyDescent="0.25">
      <c r="A91" s="8"/>
      <c r="B91" s="28"/>
      <c r="C91" s="29"/>
      <c r="D91" s="30"/>
      <c r="E91" s="30"/>
      <c r="F91" s="30"/>
      <c r="G91" s="30"/>
      <c r="H91" s="30"/>
      <c r="I91" s="30"/>
      <c r="J91" s="31"/>
      <c r="K91" s="23"/>
    </row>
    <row r="92" spans="1:18" x14ac:dyDescent="0.25">
      <c r="A92" s="8" t="s">
        <v>50</v>
      </c>
      <c r="B92" s="28"/>
      <c r="C92" s="29"/>
      <c r="D92" s="30"/>
      <c r="E92" s="30"/>
      <c r="F92" s="30"/>
      <c r="G92" s="30"/>
      <c r="H92" s="30"/>
      <c r="I92" s="30"/>
      <c r="J92" s="31"/>
      <c r="K92" s="23"/>
    </row>
    <row r="93" spans="1:18" x14ac:dyDescent="0.25">
      <c r="A93" s="20"/>
      <c r="B93" s="32" t="s">
        <v>12</v>
      </c>
      <c r="C93" s="33" t="s">
        <v>51</v>
      </c>
      <c r="D93" s="34" t="s">
        <v>14</v>
      </c>
      <c r="E93" s="84" t="s">
        <v>15</v>
      </c>
      <c r="F93" s="36" t="s">
        <v>16</v>
      </c>
      <c r="G93" s="37" t="s">
        <v>17</v>
      </c>
      <c r="H93" s="38" t="s">
        <v>18</v>
      </c>
      <c r="I93" s="38" t="s">
        <v>19</v>
      </c>
      <c r="J93" s="39" t="s">
        <v>20</v>
      </c>
      <c r="K93" s="40" t="s">
        <v>21</v>
      </c>
      <c r="L93" s="40" t="s">
        <v>22</v>
      </c>
      <c r="M93" s="40" t="s">
        <v>23</v>
      </c>
      <c r="N93" s="40" t="s">
        <v>24</v>
      </c>
      <c r="O93" s="38" t="s">
        <v>25</v>
      </c>
      <c r="P93" s="38" t="s">
        <v>26</v>
      </c>
      <c r="Q93" s="38" t="s">
        <v>27</v>
      </c>
    </row>
    <row r="94" spans="1:18" x14ac:dyDescent="0.25">
      <c r="A94" s="41">
        <v>10000</v>
      </c>
      <c r="B94" s="42" t="s">
        <v>28</v>
      </c>
      <c r="C94" s="87">
        <v>3000</v>
      </c>
      <c r="D94" s="88">
        <f>F94+G94+H94+I94+J94+K94+L94+M94+N94+O94+P94+Q94</f>
        <v>4462.63</v>
      </c>
      <c r="E94" s="45">
        <f>C94-D94</f>
        <v>-1462.63</v>
      </c>
      <c r="F94" s="46"/>
      <c r="G94" s="47">
        <f>206.43+89.11+55+286</f>
        <v>636.54</v>
      </c>
      <c r="H94" s="46">
        <f>183.75+134+220</f>
        <v>537.75</v>
      </c>
      <c r="I94" s="46">
        <f>223.5+224.83+215.28</f>
        <v>663.61</v>
      </c>
      <c r="J94" s="48">
        <f>211.85+4.7</f>
        <v>216.54999999999998</v>
      </c>
      <c r="K94" s="49">
        <f>216.5+220+210.5+161.46</f>
        <v>808.46</v>
      </c>
      <c r="L94" s="49">
        <f>187.33+185+35+35</f>
        <v>442.33000000000004</v>
      </c>
      <c r="M94" s="49">
        <f>274+188.25+215.28</f>
        <v>677.53</v>
      </c>
      <c r="N94" s="49">
        <f>248.69+2.35+53.82+35+35+35+35+35</f>
        <v>479.86</v>
      </c>
      <c r="O94" s="50"/>
      <c r="P94" s="50"/>
      <c r="Q94" s="51"/>
    </row>
    <row r="95" spans="1:18" ht="27" x14ac:dyDescent="0.25">
      <c r="A95" s="52">
        <v>10001</v>
      </c>
      <c r="B95" s="53" t="s">
        <v>29</v>
      </c>
      <c r="C95" s="89">
        <v>100</v>
      </c>
      <c r="D95" s="90">
        <f t="shared" ref="D95:D102" si="15">F95+G95+H95+I95+J95+K95+L95+M95+N95+O95+P95+Q95</f>
        <v>154.13</v>
      </c>
      <c r="E95" s="56">
        <f t="shared" ref="E95:E102" si="16">C95-D95</f>
        <v>-54.129999999999995</v>
      </c>
      <c r="F95" s="57">
        <v>69.989999999999995</v>
      </c>
      <c r="G95" s="58"/>
      <c r="H95" s="57"/>
      <c r="I95" s="57"/>
      <c r="J95" s="59"/>
      <c r="K95" s="60"/>
      <c r="L95" s="60"/>
      <c r="M95" s="60"/>
      <c r="N95" s="60"/>
      <c r="O95" s="61"/>
      <c r="P95" s="61"/>
      <c r="Q95" s="9">
        <f>49.14+35</f>
        <v>84.14</v>
      </c>
    </row>
    <row r="96" spans="1:18" x14ac:dyDescent="0.25">
      <c r="A96" s="41">
        <v>10002</v>
      </c>
      <c r="B96" s="42" t="s">
        <v>30</v>
      </c>
      <c r="C96" s="91">
        <v>500</v>
      </c>
      <c r="D96" s="88">
        <f t="shared" si="15"/>
        <v>70.61</v>
      </c>
      <c r="E96" s="45">
        <f t="shared" si="16"/>
        <v>429.39</v>
      </c>
      <c r="F96" s="63">
        <v>50.8</v>
      </c>
      <c r="G96" s="64"/>
      <c r="H96" s="46"/>
      <c r="I96" s="46"/>
      <c r="J96" s="48">
        <v>19.809999999999999</v>
      </c>
      <c r="K96" s="49"/>
      <c r="L96" s="49"/>
      <c r="M96" s="49"/>
      <c r="N96" s="49"/>
      <c r="O96" s="50"/>
      <c r="P96" s="50"/>
      <c r="Q96" s="51"/>
    </row>
    <row r="97" spans="1:17" x14ac:dyDescent="0.25">
      <c r="A97" s="4">
        <v>10003</v>
      </c>
      <c r="B97" s="53" t="s">
        <v>31</v>
      </c>
      <c r="C97" s="91">
        <v>100</v>
      </c>
      <c r="D97" s="90">
        <f t="shared" si="15"/>
        <v>0</v>
      </c>
      <c r="E97" s="56">
        <f t="shared" si="16"/>
        <v>100</v>
      </c>
      <c r="F97" s="66"/>
      <c r="G97" s="58"/>
      <c r="H97" s="57"/>
      <c r="I97" s="57"/>
      <c r="J97" s="59"/>
      <c r="K97" s="60"/>
      <c r="L97" s="60"/>
      <c r="M97" s="60"/>
      <c r="N97" s="60"/>
      <c r="O97" s="61"/>
      <c r="P97" s="61"/>
      <c r="Q97" s="9"/>
    </row>
    <row r="98" spans="1:17" x14ac:dyDescent="0.25">
      <c r="A98" s="41">
        <v>10006</v>
      </c>
      <c r="B98" s="67" t="s">
        <v>32</v>
      </c>
      <c r="C98" s="91">
        <v>600</v>
      </c>
      <c r="D98" s="88">
        <f t="shared" si="15"/>
        <v>0</v>
      </c>
      <c r="E98" s="45">
        <f t="shared" si="16"/>
        <v>600</v>
      </c>
      <c r="F98" s="46"/>
      <c r="G98" s="64"/>
      <c r="H98" s="46"/>
      <c r="I98" s="46"/>
      <c r="J98" s="48"/>
      <c r="K98" s="49"/>
      <c r="L98" s="49"/>
      <c r="M98" s="49"/>
      <c r="N98" s="49"/>
      <c r="O98" s="50"/>
      <c r="P98" s="50"/>
      <c r="Q98" s="51"/>
    </row>
    <row r="99" spans="1:17" x14ac:dyDescent="0.25">
      <c r="A99" s="4">
        <v>20001</v>
      </c>
      <c r="B99" s="53" t="s">
        <v>47</v>
      </c>
      <c r="C99" s="91">
        <v>100</v>
      </c>
      <c r="D99" s="90">
        <f t="shared" si="15"/>
        <v>0</v>
      </c>
      <c r="E99" s="56">
        <f t="shared" si="16"/>
        <v>100</v>
      </c>
      <c r="F99" s="57"/>
      <c r="G99" s="58"/>
      <c r="H99" s="57"/>
      <c r="I99" s="57"/>
      <c r="J99" s="59"/>
      <c r="K99" s="60"/>
      <c r="L99" s="60"/>
      <c r="M99" s="60"/>
      <c r="N99" s="60"/>
      <c r="O99" s="61"/>
      <c r="P99" s="61"/>
      <c r="Q99" s="9"/>
    </row>
    <row r="100" spans="1:17" x14ac:dyDescent="0.25">
      <c r="A100" s="41">
        <v>20002</v>
      </c>
      <c r="B100" s="67" t="s">
        <v>48</v>
      </c>
      <c r="C100" s="91">
        <v>100</v>
      </c>
      <c r="D100" s="88">
        <f t="shared" si="15"/>
        <v>0</v>
      </c>
      <c r="E100" s="45">
        <f t="shared" si="16"/>
        <v>100</v>
      </c>
      <c r="F100" s="46"/>
      <c r="G100" s="64"/>
      <c r="H100" s="46"/>
      <c r="I100" s="46"/>
      <c r="J100" s="48"/>
      <c r="K100" s="49"/>
      <c r="L100" s="49"/>
      <c r="M100" s="49"/>
      <c r="N100" s="49"/>
      <c r="O100" s="50"/>
      <c r="P100" s="50"/>
      <c r="Q100" s="51"/>
    </row>
    <row r="101" spans="1:17" x14ac:dyDescent="0.25">
      <c r="A101" s="4">
        <v>20003</v>
      </c>
      <c r="B101" s="53" t="s">
        <v>35</v>
      </c>
      <c r="C101" s="91">
        <v>2200</v>
      </c>
      <c r="D101" s="90">
        <f t="shared" si="15"/>
        <v>1379.95</v>
      </c>
      <c r="E101" s="56">
        <f t="shared" si="16"/>
        <v>820.05</v>
      </c>
      <c r="F101" s="57"/>
      <c r="G101" s="58">
        <f>248.7+1131.25</f>
        <v>1379.95</v>
      </c>
      <c r="H101" s="57"/>
      <c r="I101" s="57"/>
      <c r="J101" s="59"/>
      <c r="K101" s="60"/>
      <c r="L101" s="60"/>
      <c r="M101" s="60"/>
      <c r="N101" s="60"/>
      <c r="O101" s="61"/>
      <c r="P101" s="61"/>
      <c r="Q101" s="9"/>
    </row>
    <row r="102" spans="1:17" x14ac:dyDescent="0.25">
      <c r="A102" s="41">
        <v>30001</v>
      </c>
      <c r="B102" s="67" t="s">
        <v>36</v>
      </c>
      <c r="C102" s="91">
        <v>2500</v>
      </c>
      <c r="D102" s="88">
        <f t="shared" si="15"/>
        <v>658.67</v>
      </c>
      <c r="E102" s="45">
        <f t="shared" si="16"/>
        <v>1841.33</v>
      </c>
      <c r="F102" s="46"/>
      <c r="G102" s="64"/>
      <c r="H102" s="46"/>
      <c r="I102" s="46">
        <f>442.5+105+111.17</f>
        <v>658.67</v>
      </c>
      <c r="J102" s="48"/>
      <c r="K102" s="49"/>
      <c r="L102" s="49"/>
      <c r="M102" s="49"/>
      <c r="N102" s="49"/>
      <c r="O102" s="50"/>
      <c r="P102" s="50"/>
      <c r="Q102" s="51"/>
    </row>
    <row r="103" spans="1:17" x14ac:dyDescent="0.25">
      <c r="A103" s="4">
        <v>30002</v>
      </c>
      <c r="B103" s="53" t="s">
        <v>49</v>
      </c>
      <c r="C103" s="91">
        <v>450</v>
      </c>
      <c r="D103" s="90">
        <f>F103+G103+H103+I103+J103+K103+L103+M103+N103+O103+P103+Q103</f>
        <v>0</v>
      </c>
      <c r="E103" s="56">
        <f>C103-D103</f>
        <v>450</v>
      </c>
      <c r="F103" s="57"/>
      <c r="G103" s="58"/>
      <c r="H103" s="57"/>
      <c r="I103" s="4"/>
      <c r="J103" s="59"/>
      <c r="K103" s="60"/>
      <c r="L103" s="60"/>
      <c r="M103" s="60"/>
      <c r="N103" s="60"/>
      <c r="O103" s="61"/>
      <c r="P103" s="61"/>
      <c r="Q103" s="9"/>
    </row>
    <row r="104" spans="1:17" x14ac:dyDescent="0.25">
      <c r="A104" s="86">
        <v>30003</v>
      </c>
      <c r="B104" s="86" t="s">
        <v>37</v>
      </c>
      <c r="C104" s="92"/>
      <c r="D104" s="41"/>
      <c r="E104" s="41"/>
      <c r="F104" s="41"/>
      <c r="G104" s="41"/>
      <c r="H104" s="41"/>
      <c r="I104" s="41"/>
      <c r="J104" s="41"/>
      <c r="K104" s="50"/>
      <c r="L104" s="50"/>
      <c r="M104" s="50"/>
      <c r="N104" s="50"/>
      <c r="O104" s="50"/>
      <c r="P104" s="50">
        <v>427.5</v>
      </c>
      <c r="Q104" s="50">
        <v>117.33</v>
      </c>
    </row>
    <row r="105" spans="1:17" x14ac:dyDescent="0.25">
      <c r="A105" s="70" t="s">
        <v>38</v>
      </c>
      <c r="C105" s="93">
        <f>SUM(C94:C103)</f>
        <v>9650</v>
      </c>
      <c r="D105" s="94">
        <f>F105+G105+H105+I105+J105+K105+L105+M105+N105+O105+P105+Q105</f>
        <v>7270.82</v>
      </c>
      <c r="E105" s="73">
        <f>C105-D105</f>
        <v>2379.1800000000003</v>
      </c>
      <c r="F105" s="74">
        <f t="shared" ref="F105:O105" si="17">SUM(F94:F103)</f>
        <v>120.78999999999999</v>
      </c>
      <c r="G105" s="95">
        <f t="shared" si="17"/>
        <v>2016.49</v>
      </c>
      <c r="H105" s="74">
        <f t="shared" si="17"/>
        <v>537.75</v>
      </c>
      <c r="I105" s="74">
        <f t="shared" si="17"/>
        <v>1322.28</v>
      </c>
      <c r="J105" s="96">
        <f t="shared" si="17"/>
        <v>236.35999999999999</v>
      </c>
      <c r="K105" s="97">
        <f t="shared" si="17"/>
        <v>808.46</v>
      </c>
      <c r="L105" s="97">
        <f t="shared" si="17"/>
        <v>442.33000000000004</v>
      </c>
      <c r="M105" s="97">
        <f t="shared" si="17"/>
        <v>677.53</v>
      </c>
      <c r="N105" s="97">
        <f t="shared" si="17"/>
        <v>479.86</v>
      </c>
      <c r="O105" s="74">
        <f t="shared" si="17"/>
        <v>0</v>
      </c>
      <c r="P105" s="74">
        <f>SUM(P94:P104)</f>
        <v>427.5</v>
      </c>
      <c r="Q105" s="74">
        <f>SUM(Q94:Q104)</f>
        <v>201.47</v>
      </c>
    </row>
    <row r="106" spans="1:17" x14ac:dyDescent="0.25">
      <c r="A106" s="70"/>
      <c r="C106" s="57"/>
      <c r="D106" s="82"/>
      <c r="E106" s="83"/>
      <c r="F106" s="57"/>
      <c r="G106" s="98"/>
      <c r="H106" s="57"/>
      <c r="I106" s="57"/>
      <c r="J106" s="99"/>
      <c r="K106" s="100"/>
      <c r="L106" s="100"/>
      <c r="M106" s="100"/>
      <c r="N106" s="100"/>
      <c r="O106" s="57"/>
      <c r="P106" s="57"/>
      <c r="Q106" s="57"/>
    </row>
    <row r="107" spans="1:17" x14ac:dyDescent="0.25">
      <c r="A107" s="70"/>
      <c r="C107" s="57"/>
      <c r="D107" s="82"/>
      <c r="E107" s="83"/>
      <c r="F107" s="57"/>
      <c r="G107" s="98"/>
      <c r="H107" s="57"/>
      <c r="I107" s="57"/>
      <c r="J107" s="99"/>
      <c r="K107" s="100"/>
      <c r="L107" s="100"/>
      <c r="M107" s="100"/>
      <c r="N107" s="100"/>
      <c r="O107" s="57"/>
      <c r="P107" s="57"/>
      <c r="Q107" s="57"/>
    </row>
    <row r="108" spans="1:17" x14ac:dyDescent="0.25">
      <c r="A108" s="8" t="s">
        <v>52</v>
      </c>
      <c r="B108" s="28"/>
      <c r="C108" s="29"/>
      <c r="D108" s="30"/>
      <c r="E108" s="30"/>
      <c r="F108" s="30"/>
      <c r="G108" s="30"/>
      <c r="H108" s="30"/>
      <c r="I108" s="30"/>
      <c r="J108" s="31"/>
      <c r="K108" s="23"/>
    </row>
    <row r="109" spans="1:17" x14ac:dyDescent="0.25">
      <c r="A109" s="20"/>
      <c r="B109" s="32" t="s">
        <v>12</v>
      </c>
      <c r="C109" s="33" t="s">
        <v>53</v>
      </c>
      <c r="D109" s="34" t="s">
        <v>14</v>
      </c>
      <c r="E109" s="84" t="s">
        <v>15</v>
      </c>
      <c r="F109" s="36" t="s">
        <v>16</v>
      </c>
      <c r="G109" s="37" t="s">
        <v>17</v>
      </c>
      <c r="H109" s="38" t="s">
        <v>18</v>
      </c>
      <c r="I109" s="38" t="s">
        <v>19</v>
      </c>
      <c r="J109" s="39" t="s">
        <v>20</v>
      </c>
      <c r="K109" s="40" t="s">
        <v>21</v>
      </c>
      <c r="L109" s="40" t="s">
        <v>22</v>
      </c>
      <c r="M109" s="40" t="s">
        <v>23</v>
      </c>
      <c r="N109" s="40" t="s">
        <v>24</v>
      </c>
      <c r="O109" s="38" t="s">
        <v>25</v>
      </c>
      <c r="P109" s="38" t="s">
        <v>26</v>
      </c>
      <c r="Q109" s="38" t="s">
        <v>27</v>
      </c>
    </row>
    <row r="110" spans="1:17" x14ac:dyDescent="0.25">
      <c r="A110" s="41">
        <v>10000</v>
      </c>
      <c r="B110" s="42" t="s">
        <v>28</v>
      </c>
      <c r="C110" s="43">
        <v>3000</v>
      </c>
      <c r="D110" s="44">
        <f>F110+G110+H110+I110+J110+K110+L110+M110+N110+O110+P110+Q110</f>
        <v>5208.93</v>
      </c>
      <c r="E110" s="45">
        <f t="shared" ref="E110:E120" si="18">C110-D110</f>
        <v>-2208.9300000000003</v>
      </c>
      <c r="F110" s="46">
        <v>196.35</v>
      </c>
      <c r="G110" s="47">
        <f>171.9+284+202.4</f>
        <v>658.3</v>
      </c>
      <c r="H110" s="46">
        <v>198.5</v>
      </c>
      <c r="I110" s="46">
        <f>203.9+265+257</f>
        <v>725.9</v>
      </c>
      <c r="J110" s="48">
        <f>217.93</f>
        <v>217.93</v>
      </c>
      <c r="K110" s="49">
        <f>52.75</f>
        <v>52.75</v>
      </c>
      <c r="L110" s="49">
        <f>239+263.24</f>
        <v>502.24</v>
      </c>
      <c r="M110" s="49">
        <f>304.18+252.55</f>
        <v>556.73</v>
      </c>
      <c r="N110" s="49">
        <f>270+263.24</f>
        <v>533.24</v>
      </c>
      <c r="O110" s="50">
        <f>273.99</f>
        <v>273.99</v>
      </c>
      <c r="P110" s="50">
        <f>256.5+285+277.5+270</f>
        <v>1089</v>
      </c>
      <c r="Q110" s="51">
        <f>204</f>
        <v>204</v>
      </c>
    </row>
    <row r="111" spans="1:17" ht="27" x14ac:dyDescent="0.25">
      <c r="A111" s="52">
        <v>10001</v>
      </c>
      <c r="B111" s="53" t="s">
        <v>29</v>
      </c>
      <c r="C111" s="80">
        <v>100</v>
      </c>
      <c r="D111" s="44">
        <f t="shared" ref="D111:D119" si="19">F111+G111+H111+I111+J111+K111+L111+M111+N111+O111+P111+Q111</f>
        <v>1579.85</v>
      </c>
      <c r="E111" s="56">
        <f t="shared" si="18"/>
        <v>-1479.85</v>
      </c>
      <c r="F111" s="57"/>
      <c r="G111" s="58">
        <v>293.77999999999997</v>
      </c>
      <c r="H111" s="57"/>
      <c r="I111" s="57">
        <v>48.8</v>
      </c>
      <c r="J111" s="59">
        <v>48.8</v>
      </c>
      <c r="K111" s="60">
        <f>48.8+70+35</f>
        <v>153.80000000000001</v>
      </c>
      <c r="L111" s="60">
        <v>48.8</v>
      </c>
      <c r="M111" s="60">
        <f>97.6+24.26+35+70</f>
        <v>226.86</v>
      </c>
      <c r="N111" s="60">
        <v>97.6</v>
      </c>
      <c r="O111" s="61">
        <v>35</v>
      </c>
      <c r="P111" s="61">
        <f>37.41+35+70+244</f>
        <v>386.40999999999997</v>
      </c>
      <c r="Q111" s="9">
        <f>70+70+35+35+30</f>
        <v>240</v>
      </c>
    </row>
    <row r="112" spans="1:17" x14ac:dyDescent="0.25">
      <c r="A112" s="41">
        <v>10002</v>
      </c>
      <c r="B112" s="42" t="s">
        <v>30</v>
      </c>
      <c r="C112" s="62">
        <v>500</v>
      </c>
      <c r="D112" s="44">
        <f t="shared" si="19"/>
        <v>151.18</v>
      </c>
      <c r="E112" s="45">
        <f t="shared" si="18"/>
        <v>348.82</v>
      </c>
      <c r="F112" s="63"/>
      <c r="G112" s="64"/>
      <c r="H112" s="46"/>
      <c r="I112" s="46"/>
      <c r="J112" s="48"/>
      <c r="K112" s="49"/>
      <c r="L112" s="49"/>
      <c r="M112" s="49"/>
      <c r="N112" s="49"/>
      <c r="O112" s="50"/>
      <c r="P112" s="50"/>
      <c r="Q112" s="51">
        <v>151.18</v>
      </c>
    </row>
    <row r="113" spans="1:17" x14ac:dyDescent="0.25">
      <c r="A113" s="4">
        <v>10003</v>
      </c>
      <c r="B113" s="53" t="s">
        <v>31</v>
      </c>
      <c r="C113" s="62">
        <v>100</v>
      </c>
      <c r="D113" s="44">
        <f t="shared" si="19"/>
        <v>0</v>
      </c>
      <c r="E113" s="56">
        <f t="shared" si="18"/>
        <v>100</v>
      </c>
      <c r="F113" s="66"/>
      <c r="G113" s="58"/>
      <c r="H113" s="57"/>
      <c r="I113" s="57"/>
      <c r="J113" s="59"/>
      <c r="K113" s="60"/>
      <c r="L113" s="60"/>
      <c r="M113" s="60"/>
      <c r="N113" s="60"/>
      <c r="O113" s="61"/>
      <c r="P113" s="61"/>
      <c r="Q113" s="9"/>
    </row>
    <row r="114" spans="1:17" x14ac:dyDescent="0.25">
      <c r="A114" s="41">
        <v>10006</v>
      </c>
      <c r="B114" s="67" t="s">
        <v>32</v>
      </c>
      <c r="C114" s="62">
        <v>600</v>
      </c>
      <c r="D114" s="44">
        <f t="shared" si="19"/>
        <v>202.4</v>
      </c>
      <c r="E114" s="45">
        <f t="shared" si="18"/>
        <v>397.6</v>
      </c>
      <c r="F114" s="46"/>
      <c r="G114" s="64"/>
      <c r="H114" s="46"/>
      <c r="I114" s="46"/>
      <c r="J114" s="48"/>
      <c r="K114" s="49"/>
      <c r="L114" s="49">
        <v>202.4</v>
      </c>
      <c r="M114" s="49"/>
      <c r="N114" s="49"/>
      <c r="O114" s="50"/>
      <c r="P114" s="50"/>
      <c r="Q114" s="51"/>
    </row>
    <row r="115" spans="1:17" x14ac:dyDescent="0.25">
      <c r="A115" s="4">
        <v>20001</v>
      </c>
      <c r="B115" s="53" t="s">
        <v>47</v>
      </c>
      <c r="C115" s="62">
        <v>100</v>
      </c>
      <c r="D115" s="44">
        <f t="shared" si="19"/>
        <v>41.370000000000005</v>
      </c>
      <c r="E115" s="56">
        <f t="shared" si="18"/>
        <v>58.629999999999995</v>
      </c>
      <c r="F115" s="57"/>
      <c r="G115" s="58"/>
      <c r="H115" s="57"/>
      <c r="I115" s="57">
        <v>21.37</v>
      </c>
      <c r="J115" s="59"/>
      <c r="K115" s="60"/>
      <c r="L115" s="60"/>
      <c r="M115" s="60">
        <v>20</v>
      </c>
      <c r="N115" s="60"/>
      <c r="O115" s="61"/>
      <c r="P115" s="61"/>
      <c r="Q115" s="9"/>
    </row>
    <row r="116" spans="1:17" x14ac:dyDescent="0.25">
      <c r="A116" s="41">
        <v>20002</v>
      </c>
      <c r="B116" s="67" t="s">
        <v>48</v>
      </c>
      <c r="C116" s="62">
        <v>100</v>
      </c>
      <c r="D116" s="44">
        <f t="shared" si="19"/>
        <v>0</v>
      </c>
      <c r="E116" s="45">
        <f t="shared" si="18"/>
        <v>100</v>
      </c>
      <c r="F116" s="46"/>
      <c r="G116" s="64"/>
      <c r="H116" s="46"/>
      <c r="I116" s="46"/>
      <c r="J116" s="48"/>
      <c r="K116" s="49"/>
      <c r="L116" s="49"/>
      <c r="M116" s="49"/>
      <c r="N116" s="49"/>
      <c r="O116" s="50"/>
      <c r="P116" s="50"/>
      <c r="Q116" s="51"/>
    </row>
    <row r="117" spans="1:17" x14ac:dyDescent="0.25">
      <c r="A117" s="4">
        <v>20003</v>
      </c>
      <c r="B117" s="53" t="s">
        <v>35</v>
      </c>
      <c r="C117" s="62">
        <v>2200</v>
      </c>
      <c r="D117" s="44">
        <f t="shared" si="19"/>
        <v>1135.1500000000001</v>
      </c>
      <c r="E117" s="56">
        <f t="shared" si="18"/>
        <v>1064.8499999999999</v>
      </c>
      <c r="F117" s="57">
        <v>1050</v>
      </c>
      <c r="G117" s="58"/>
      <c r="H117" s="57"/>
      <c r="I117" s="57"/>
      <c r="J117" s="59"/>
      <c r="K117" s="60"/>
      <c r="L117" s="60">
        <f>12+50+23.15</f>
        <v>85.15</v>
      </c>
      <c r="M117" s="60"/>
      <c r="N117" s="60"/>
      <c r="O117" s="61"/>
      <c r="P117" s="61"/>
      <c r="Q117" s="9"/>
    </row>
    <row r="118" spans="1:17" x14ac:dyDescent="0.25">
      <c r="A118" s="41">
        <v>30001</v>
      </c>
      <c r="B118" s="67" t="s">
        <v>36</v>
      </c>
      <c r="C118" s="62">
        <v>2500</v>
      </c>
      <c r="D118" s="44">
        <f t="shared" si="19"/>
        <v>2144.1</v>
      </c>
      <c r="E118" s="45">
        <f t="shared" si="18"/>
        <v>355.90000000000009</v>
      </c>
      <c r="F118" s="46"/>
      <c r="G118" s="64"/>
      <c r="H118" s="46"/>
      <c r="I118" s="46">
        <f>48.8+125.36+15.69+1655+592.5</f>
        <v>2437.35</v>
      </c>
      <c r="J118" s="48">
        <v>240</v>
      </c>
      <c r="K118" s="49">
        <v>-533.25</v>
      </c>
      <c r="L118" s="49"/>
      <c r="M118" s="49"/>
      <c r="N118" s="49"/>
      <c r="O118" s="50"/>
      <c r="P118" s="50"/>
      <c r="Q118" s="51"/>
    </row>
    <row r="119" spans="1:17" x14ac:dyDescent="0.25">
      <c r="A119" s="20">
        <v>30002</v>
      </c>
      <c r="B119" s="101" t="s">
        <v>49</v>
      </c>
      <c r="C119" s="102">
        <v>450</v>
      </c>
      <c r="D119" s="55">
        <f t="shared" si="19"/>
        <v>450</v>
      </c>
      <c r="E119" s="56">
        <f t="shared" si="18"/>
        <v>0</v>
      </c>
      <c r="F119" s="57"/>
      <c r="G119" s="58"/>
      <c r="H119" s="57"/>
      <c r="I119" s="4"/>
      <c r="J119" s="59"/>
      <c r="K119" s="60"/>
      <c r="L119" s="60"/>
      <c r="M119" s="60"/>
      <c r="N119" s="60"/>
      <c r="O119" s="61"/>
      <c r="P119" s="61"/>
      <c r="Q119" s="9">
        <v>450</v>
      </c>
    </row>
    <row r="120" spans="1:17" x14ac:dyDescent="0.25">
      <c r="A120" s="70" t="s">
        <v>38</v>
      </c>
      <c r="C120" s="103">
        <f>SUM(C110:C119)</f>
        <v>9650</v>
      </c>
      <c r="D120" s="104">
        <f>F120+G120+H120+I120+J120+K120+L120+M120+N120+O120+P120+Q120</f>
        <v>10912.980000000001</v>
      </c>
      <c r="E120" s="73">
        <f t="shared" si="18"/>
        <v>-1262.9800000000014</v>
      </c>
      <c r="F120" s="74">
        <f t="shared" ref="F120:Q120" si="20">SUM(F110:F119)</f>
        <v>1246.3499999999999</v>
      </c>
      <c r="G120" s="95">
        <f t="shared" si="20"/>
        <v>952.07999999999993</v>
      </c>
      <c r="H120" s="74">
        <f t="shared" si="20"/>
        <v>198.5</v>
      </c>
      <c r="I120" s="74">
        <f t="shared" si="20"/>
        <v>3233.42</v>
      </c>
      <c r="J120" s="96">
        <f t="shared" si="20"/>
        <v>506.73</v>
      </c>
      <c r="K120" s="97">
        <f t="shared" si="20"/>
        <v>-326.7</v>
      </c>
      <c r="L120" s="97">
        <f t="shared" si="20"/>
        <v>838.58999999999992</v>
      </c>
      <c r="M120" s="97">
        <f t="shared" si="20"/>
        <v>803.59</v>
      </c>
      <c r="N120" s="97">
        <f t="shared" si="20"/>
        <v>630.84</v>
      </c>
      <c r="O120" s="74">
        <f t="shared" si="20"/>
        <v>308.99</v>
      </c>
      <c r="P120" s="74">
        <f t="shared" si="20"/>
        <v>1475.4099999999999</v>
      </c>
      <c r="Q120" s="74">
        <f t="shared" si="20"/>
        <v>1045.18</v>
      </c>
    </row>
    <row r="121" spans="1:17" x14ac:dyDescent="0.25">
      <c r="A121" s="70"/>
      <c r="C121" s="57"/>
      <c r="D121" s="82"/>
      <c r="E121" s="83"/>
      <c r="F121" s="57"/>
      <c r="G121" s="98"/>
      <c r="H121" s="57"/>
      <c r="I121" s="57"/>
      <c r="J121" s="99"/>
      <c r="K121" s="100"/>
      <c r="L121" s="100"/>
      <c r="M121" s="100"/>
      <c r="N121" s="100"/>
      <c r="O121" s="57"/>
      <c r="P121" s="57"/>
      <c r="Q121" s="57"/>
    </row>
    <row r="122" spans="1:17" x14ac:dyDescent="0.25">
      <c r="A122" s="70"/>
      <c r="C122" s="57"/>
      <c r="D122" s="82"/>
      <c r="E122" s="83"/>
      <c r="F122" s="57"/>
      <c r="G122" s="98"/>
      <c r="H122" s="57"/>
      <c r="I122" s="57"/>
      <c r="J122" s="99"/>
      <c r="K122" s="100"/>
      <c r="L122" s="100"/>
      <c r="M122" s="100"/>
      <c r="N122" s="100"/>
      <c r="O122" s="57"/>
      <c r="P122" s="57"/>
      <c r="Q122" s="57"/>
    </row>
    <row r="123" spans="1:17" x14ac:dyDescent="0.25">
      <c r="A123" s="8" t="s">
        <v>54</v>
      </c>
      <c r="B123" s="28"/>
      <c r="C123" s="29"/>
      <c r="D123" s="30"/>
      <c r="E123" s="30"/>
      <c r="F123" s="30"/>
      <c r="G123" s="30"/>
      <c r="H123" s="30"/>
      <c r="I123" s="30"/>
      <c r="J123" s="31"/>
      <c r="K123" s="23"/>
    </row>
    <row r="124" spans="1:17" ht="27" x14ac:dyDescent="0.25">
      <c r="A124" s="20"/>
      <c r="B124" s="32" t="s">
        <v>12</v>
      </c>
      <c r="C124" s="33" t="s">
        <v>55</v>
      </c>
      <c r="D124" s="105" t="s">
        <v>14</v>
      </c>
      <c r="E124" s="84" t="s">
        <v>15</v>
      </c>
      <c r="F124" s="36" t="s">
        <v>16</v>
      </c>
      <c r="G124" s="37" t="s">
        <v>17</v>
      </c>
      <c r="H124" s="38" t="s">
        <v>18</v>
      </c>
      <c r="I124" s="38" t="s">
        <v>19</v>
      </c>
      <c r="J124" s="39" t="s">
        <v>20</v>
      </c>
      <c r="K124" s="40" t="s">
        <v>21</v>
      </c>
      <c r="L124" s="40" t="s">
        <v>22</v>
      </c>
      <c r="M124" s="40" t="s">
        <v>23</v>
      </c>
      <c r="N124" s="40" t="s">
        <v>24</v>
      </c>
      <c r="O124" s="38" t="s">
        <v>25</v>
      </c>
      <c r="P124" s="38" t="s">
        <v>26</v>
      </c>
      <c r="Q124" s="38" t="s">
        <v>27</v>
      </c>
    </row>
    <row r="125" spans="1:17" x14ac:dyDescent="0.25">
      <c r="A125" s="41">
        <v>10000</v>
      </c>
      <c r="B125" s="42" t="s">
        <v>28</v>
      </c>
      <c r="C125" s="43">
        <v>3000</v>
      </c>
      <c r="D125" s="44">
        <f>F125+G125+H125+I125+J125+K125+L125+M125+N125+O125+P125+Q125</f>
        <v>4838.7699999999995</v>
      </c>
      <c r="E125" s="45">
        <f t="shared" ref="E125:E135" si="21">C125-D125</f>
        <v>-1838.7699999999995</v>
      </c>
      <c r="F125" s="46">
        <f>28.76+35</f>
        <v>63.760000000000005</v>
      </c>
      <c r="G125" s="47">
        <f>158.71+45+7.11</f>
        <v>210.82000000000002</v>
      </c>
      <c r="H125" s="46">
        <f>222.26+41.52+277.78</f>
        <v>541.55999999999995</v>
      </c>
      <c r="I125" s="46">
        <f>246.69+194.65+30+35</f>
        <v>506.34000000000003</v>
      </c>
      <c r="J125" s="48">
        <f>230.49+231.15</f>
        <v>461.64</v>
      </c>
      <c r="K125" s="49">
        <f>209.29+219.75+184.8</f>
        <v>613.83999999999992</v>
      </c>
      <c r="L125" s="49">
        <f>4.5+2.25+124.35+606.25</f>
        <v>737.35</v>
      </c>
      <c r="M125" s="49">
        <f>2.25+196.35</f>
        <v>198.6</v>
      </c>
      <c r="N125" s="49">
        <f>175.14+196.35+176.6</f>
        <v>548.09</v>
      </c>
      <c r="O125" s="50">
        <f>202.4+198.5+226.72</f>
        <v>627.62</v>
      </c>
      <c r="P125" s="50">
        <f>153.15+33.75+35+2.25</f>
        <v>224.15</v>
      </c>
      <c r="Q125" s="51">
        <f>35+70</f>
        <v>105</v>
      </c>
    </row>
    <row r="126" spans="1:17" ht="27" x14ac:dyDescent="0.25">
      <c r="A126" s="52">
        <v>10001</v>
      </c>
      <c r="B126" s="53" t="s">
        <v>29</v>
      </c>
      <c r="C126" s="80">
        <v>100</v>
      </c>
      <c r="D126" s="44">
        <f t="shared" ref="D126:D134" si="22">F126+G126+H126+I126+J126+K126+L126+M126+N126+O126+P126+Q126</f>
        <v>905.83999999999992</v>
      </c>
      <c r="E126" s="56">
        <f t="shared" si="21"/>
        <v>-805.83999999999992</v>
      </c>
      <c r="F126" s="57"/>
      <c r="G126" s="58"/>
      <c r="H126" s="57"/>
      <c r="I126" s="57"/>
      <c r="J126" s="59">
        <v>52.42</v>
      </c>
      <c r="K126" s="60">
        <f>97.7+35+35</f>
        <v>167.7</v>
      </c>
      <c r="L126" s="60">
        <v>30</v>
      </c>
      <c r="M126" s="60">
        <f>35+35+35</f>
        <v>105</v>
      </c>
      <c r="N126" s="60">
        <f>276.19+35</f>
        <v>311.19</v>
      </c>
      <c r="O126" s="61">
        <f>70+30+70</f>
        <v>170</v>
      </c>
      <c r="P126" s="61">
        <v>69.53</v>
      </c>
      <c r="Q126" s="9"/>
    </row>
    <row r="127" spans="1:17" x14ac:dyDescent="0.25">
      <c r="A127" s="41">
        <v>10002</v>
      </c>
      <c r="B127" s="42" t="s">
        <v>30</v>
      </c>
      <c r="C127" s="62">
        <v>500</v>
      </c>
      <c r="D127" s="44">
        <f t="shared" si="22"/>
        <v>3770.9300000000003</v>
      </c>
      <c r="E127" s="45">
        <f t="shared" si="21"/>
        <v>-3270.9300000000003</v>
      </c>
      <c r="F127" s="63">
        <v>68.099999999999994</v>
      </c>
      <c r="G127" s="64"/>
      <c r="H127" s="46"/>
      <c r="I127" s="106">
        <f>2858.32+796.94</f>
        <v>3655.26</v>
      </c>
      <c r="J127" s="48"/>
      <c r="K127" s="49"/>
      <c r="L127" s="49"/>
      <c r="M127" s="49"/>
      <c r="N127" s="49"/>
      <c r="O127" s="50"/>
      <c r="P127" s="50"/>
      <c r="Q127" s="51">
        <v>47.57</v>
      </c>
    </row>
    <row r="128" spans="1:17" x14ac:dyDescent="0.25">
      <c r="A128" s="4">
        <v>10003</v>
      </c>
      <c r="B128" s="53" t="s">
        <v>31</v>
      </c>
      <c r="C128" s="62">
        <v>100</v>
      </c>
      <c r="D128" s="44">
        <f t="shared" si="22"/>
        <v>370</v>
      </c>
      <c r="E128" s="56">
        <f t="shared" si="21"/>
        <v>-270</v>
      </c>
      <c r="F128" s="66"/>
      <c r="G128" s="58">
        <v>370</v>
      </c>
      <c r="H128" s="57"/>
      <c r="I128" s="57"/>
      <c r="J128" s="59"/>
      <c r="K128" s="60"/>
      <c r="L128" s="60"/>
      <c r="M128" s="60"/>
      <c r="N128" s="60"/>
      <c r="O128" s="61"/>
      <c r="P128" s="61"/>
      <c r="Q128" s="9"/>
    </row>
    <row r="129" spans="1:17" x14ac:dyDescent="0.25">
      <c r="A129" s="41">
        <v>10006</v>
      </c>
      <c r="B129" s="67" t="s">
        <v>32</v>
      </c>
      <c r="C129" s="62">
        <v>600</v>
      </c>
      <c r="D129" s="44">
        <f t="shared" si="22"/>
        <v>105</v>
      </c>
      <c r="E129" s="45">
        <f t="shared" si="21"/>
        <v>495</v>
      </c>
      <c r="F129" s="46"/>
      <c r="G129" s="64"/>
      <c r="H129" s="46"/>
      <c r="I129" s="46"/>
      <c r="J129" s="48"/>
      <c r="K129" s="49"/>
      <c r="L129" s="49"/>
      <c r="M129" s="49"/>
      <c r="N129" s="49">
        <v>45.04</v>
      </c>
      <c r="O129" s="50">
        <f>31.4+28.56</f>
        <v>59.959999999999994</v>
      </c>
      <c r="P129" s="50"/>
      <c r="Q129" s="51"/>
    </row>
    <row r="130" spans="1:17" x14ac:dyDescent="0.25">
      <c r="A130" s="4">
        <v>20001</v>
      </c>
      <c r="B130" s="53" t="s">
        <v>47</v>
      </c>
      <c r="C130" s="62">
        <v>100</v>
      </c>
      <c r="D130" s="44">
        <f t="shared" si="22"/>
        <v>0</v>
      </c>
      <c r="E130" s="56">
        <f t="shared" si="21"/>
        <v>100</v>
      </c>
      <c r="F130" s="57"/>
      <c r="G130" s="58"/>
      <c r="H130" s="57"/>
      <c r="I130" s="57"/>
      <c r="J130" s="59"/>
      <c r="K130" s="60"/>
      <c r="L130" s="60"/>
      <c r="M130" s="60"/>
      <c r="N130" s="60"/>
      <c r="O130" s="61"/>
      <c r="P130" s="61"/>
      <c r="Q130" s="9"/>
    </row>
    <row r="131" spans="1:17" x14ac:dyDescent="0.25">
      <c r="A131" s="41">
        <v>20002</v>
      </c>
      <c r="B131" s="67" t="s">
        <v>48</v>
      </c>
      <c r="C131" s="62">
        <v>100</v>
      </c>
      <c r="D131" s="44">
        <f t="shared" si="22"/>
        <v>0</v>
      </c>
      <c r="E131" s="45">
        <f t="shared" si="21"/>
        <v>100</v>
      </c>
      <c r="F131" s="46"/>
      <c r="G131" s="64"/>
      <c r="H131" s="46"/>
      <c r="I131" s="46"/>
      <c r="J131" s="48"/>
      <c r="K131" s="49"/>
      <c r="L131" s="49"/>
      <c r="M131" s="49"/>
      <c r="N131" s="49"/>
      <c r="O131" s="50"/>
      <c r="P131" s="50"/>
      <c r="Q131" s="51"/>
    </row>
    <row r="132" spans="1:17" x14ac:dyDescent="0.25">
      <c r="A132" s="4">
        <v>20003</v>
      </c>
      <c r="B132" s="53" t="s">
        <v>35</v>
      </c>
      <c r="C132" s="62">
        <v>2200</v>
      </c>
      <c r="D132" s="44">
        <f t="shared" si="22"/>
        <v>312.85000000000002</v>
      </c>
      <c r="E132" s="56">
        <f t="shared" si="21"/>
        <v>1887.15</v>
      </c>
      <c r="F132" s="57"/>
      <c r="G132" s="58"/>
      <c r="H132" s="57"/>
      <c r="I132" s="57"/>
      <c r="J132" s="59"/>
      <c r="K132" s="60"/>
      <c r="L132" s="60"/>
      <c r="M132" s="60">
        <f>12+62.95</f>
        <v>74.95</v>
      </c>
      <c r="N132" s="60">
        <f>25+24</f>
        <v>49</v>
      </c>
      <c r="O132" s="61">
        <f>94.45+94.45</f>
        <v>188.9</v>
      </c>
      <c r="P132" s="61"/>
      <c r="Q132" s="9"/>
    </row>
    <row r="133" spans="1:17" x14ac:dyDescent="0.25">
      <c r="A133" s="41">
        <v>30001</v>
      </c>
      <c r="B133" s="67" t="s">
        <v>36</v>
      </c>
      <c r="C133" s="62">
        <v>2500</v>
      </c>
      <c r="D133" s="44">
        <f t="shared" si="22"/>
        <v>1471.37</v>
      </c>
      <c r="E133" s="45">
        <f t="shared" si="21"/>
        <v>1028.6300000000001</v>
      </c>
      <c r="F133" s="46"/>
      <c r="G133" s="64"/>
      <c r="H133" s="46"/>
      <c r="I133" s="46">
        <f>1400+71.37</f>
        <v>1471.37</v>
      </c>
      <c r="J133" s="48"/>
      <c r="K133" s="49"/>
      <c r="L133" s="49"/>
      <c r="M133" s="49"/>
      <c r="N133" s="49"/>
      <c r="O133" s="50"/>
      <c r="P133" s="50"/>
      <c r="Q133" s="51"/>
    </row>
    <row r="134" spans="1:17" x14ac:dyDescent="0.25">
      <c r="A134" s="20">
        <v>30002</v>
      </c>
      <c r="B134" s="101" t="s">
        <v>49</v>
      </c>
      <c r="C134" s="107">
        <v>450</v>
      </c>
      <c r="D134" s="44">
        <f t="shared" si="22"/>
        <v>360</v>
      </c>
      <c r="E134" s="56">
        <f t="shared" si="21"/>
        <v>90</v>
      </c>
      <c r="F134" s="57"/>
      <c r="G134" s="58"/>
      <c r="H134" s="57"/>
      <c r="I134" s="4"/>
      <c r="J134" s="59"/>
      <c r="K134" s="60"/>
      <c r="L134" s="60"/>
      <c r="M134" s="60"/>
      <c r="N134" s="60"/>
      <c r="O134" s="61">
        <f>180+180</f>
        <v>360</v>
      </c>
      <c r="P134" s="61"/>
      <c r="Q134" s="9"/>
    </row>
    <row r="135" spans="1:17" x14ac:dyDescent="0.25">
      <c r="A135" s="70" t="s">
        <v>38</v>
      </c>
      <c r="C135" s="103">
        <f>SUM(C125:C134)</f>
        <v>9650</v>
      </c>
      <c r="D135" s="72">
        <f>F135+G135+H135+I135+J135+K135+L135+M135+N135+O135+P135+Q135</f>
        <v>12134.759999999998</v>
      </c>
      <c r="E135" s="73">
        <f t="shared" si="21"/>
        <v>-2484.7599999999984</v>
      </c>
      <c r="F135" s="74">
        <f t="shared" ref="F135:Q135" si="23">SUM(F125:F134)</f>
        <v>131.86000000000001</v>
      </c>
      <c r="G135" s="95">
        <f t="shared" si="23"/>
        <v>580.82000000000005</v>
      </c>
      <c r="H135" s="74">
        <f t="shared" si="23"/>
        <v>541.55999999999995</v>
      </c>
      <c r="I135" s="74">
        <f t="shared" si="23"/>
        <v>5632.97</v>
      </c>
      <c r="J135" s="96">
        <f t="shared" si="23"/>
        <v>514.05999999999995</v>
      </c>
      <c r="K135" s="97">
        <f t="shared" si="23"/>
        <v>781.54</v>
      </c>
      <c r="L135" s="97">
        <f t="shared" si="23"/>
        <v>767.35</v>
      </c>
      <c r="M135" s="97">
        <f t="shared" si="23"/>
        <v>378.55</v>
      </c>
      <c r="N135" s="97">
        <f t="shared" si="23"/>
        <v>953.31999999999994</v>
      </c>
      <c r="O135" s="74">
        <f t="shared" si="23"/>
        <v>1406.48</v>
      </c>
      <c r="P135" s="74">
        <f t="shared" si="23"/>
        <v>293.68</v>
      </c>
      <c r="Q135" s="74">
        <f t="shared" si="23"/>
        <v>152.57</v>
      </c>
    </row>
    <row r="136" spans="1:17" x14ac:dyDescent="0.25">
      <c r="A136" s="70"/>
      <c r="C136" s="57"/>
      <c r="D136" s="82"/>
      <c r="E136" s="83"/>
      <c r="F136" s="57"/>
      <c r="G136" s="98"/>
      <c r="H136" s="57"/>
      <c r="I136" s="57"/>
      <c r="J136" s="99"/>
      <c r="K136" s="100"/>
      <c r="L136" s="100"/>
      <c r="M136" s="100"/>
      <c r="N136" s="100"/>
      <c r="O136" s="57"/>
      <c r="P136" s="57"/>
      <c r="Q136" s="57"/>
    </row>
    <row r="137" spans="1:17" x14ac:dyDescent="0.25">
      <c r="A137" s="70"/>
      <c r="C137" s="57"/>
      <c r="D137" s="82"/>
      <c r="E137" s="83"/>
      <c r="F137" s="57"/>
      <c r="G137" s="98"/>
      <c r="H137" s="57"/>
      <c r="I137" s="57"/>
      <c r="J137" s="99"/>
      <c r="K137" s="100"/>
      <c r="L137" s="100"/>
      <c r="M137" s="100"/>
      <c r="N137" s="100"/>
      <c r="O137" s="57"/>
      <c r="P137" s="57"/>
      <c r="Q137" s="57"/>
    </row>
    <row r="138" spans="1:17" ht="30" customHeight="1" x14ac:dyDescent="0.25">
      <c r="A138" s="8" t="s">
        <v>56</v>
      </c>
      <c r="B138" s="28"/>
      <c r="C138" s="29"/>
      <c r="D138" s="30"/>
      <c r="E138" s="30"/>
      <c r="F138" s="30"/>
      <c r="G138" s="30"/>
      <c r="H138" s="30"/>
      <c r="I138" s="30"/>
      <c r="J138" s="31"/>
      <c r="K138" s="23"/>
    </row>
    <row r="139" spans="1:17" x14ac:dyDescent="0.25">
      <c r="A139" s="20"/>
      <c r="B139" s="32" t="s">
        <v>12</v>
      </c>
      <c r="C139" s="33" t="s">
        <v>57</v>
      </c>
      <c r="D139" s="105" t="s">
        <v>14</v>
      </c>
      <c r="E139" s="84" t="s">
        <v>15</v>
      </c>
      <c r="F139" s="36" t="s">
        <v>16</v>
      </c>
      <c r="G139" s="37" t="s">
        <v>17</v>
      </c>
      <c r="H139" s="38" t="s">
        <v>18</v>
      </c>
      <c r="I139" s="38" t="s">
        <v>19</v>
      </c>
      <c r="J139" s="39" t="s">
        <v>20</v>
      </c>
      <c r="K139" s="40" t="s">
        <v>21</v>
      </c>
      <c r="L139" s="40" t="s">
        <v>22</v>
      </c>
      <c r="M139" s="40" t="s">
        <v>23</v>
      </c>
      <c r="N139" s="40" t="s">
        <v>24</v>
      </c>
      <c r="O139" s="38" t="s">
        <v>25</v>
      </c>
      <c r="P139" s="38" t="s">
        <v>26</v>
      </c>
      <c r="Q139" s="38" t="s">
        <v>27</v>
      </c>
    </row>
    <row r="140" spans="1:17" x14ac:dyDescent="0.25">
      <c r="A140" s="41">
        <v>10000</v>
      </c>
      <c r="B140" s="42" t="s">
        <v>28</v>
      </c>
      <c r="C140" s="43">
        <v>2500</v>
      </c>
      <c r="D140" s="44">
        <f>F140+G140+H140+I140+J140+K140+L140+M140+N140+O140+P140+Q140</f>
        <v>4044.13</v>
      </c>
      <c r="E140" s="45">
        <f t="shared" ref="E140:E150" si="24">C140-D140</f>
        <v>-1544.13</v>
      </c>
      <c r="F140" s="46">
        <v>324.5</v>
      </c>
      <c r="G140" s="47"/>
      <c r="H140" s="46">
        <v>30</v>
      </c>
      <c r="I140" s="46"/>
      <c r="J140" s="48">
        <f>405.16+35+35</f>
        <v>475.16</v>
      </c>
      <c r="K140" s="49">
        <f>106.8+172.15+30+35+35</f>
        <v>378.95</v>
      </c>
      <c r="L140" s="49">
        <f>149.92+125.48+135.71+35+35+35</f>
        <v>516.11</v>
      </c>
      <c r="M140" s="49"/>
      <c r="N140" s="49">
        <f>1274.35+35+35</f>
        <v>1344.35</v>
      </c>
      <c r="O140" s="50">
        <f>306.8+35+35</f>
        <v>376.8</v>
      </c>
      <c r="P140" s="50">
        <v>56</v>
      </c>
      <c r="Q140" s="51">
        <f>56+201.26+10+35+35+35+35+35+35+35+30</f>
        <v>542.26</v>
      </c>
    </row>
    <row r="141" spans="1:17" x14ac:dyDescent="0.25">
      <c r="A141" s="4">
        <v>10001</v>
      </c>
      <c r="B141" s="53" t="s">
        <v>58</v>
      </c>
      <c r="C141" s="80">
        <v>100</v>
      </c>
      <c r="D141" s="55">
        <f t="shared" ref="D141:D149" si="25">F141+G141+H141+I141+J141+K141</f>
        <v>0</v>
      </c>
      <c r="E141" s="56">
        <f t="shared" si="24"/>
        <v>100</v>
      </c>
      <c r="F141" s="57"/>
      <c r="G141" s="58"/>
      <c r="H141" s="57"/>
      <c r="I141" s="57"/>
      <c r="J141" s="59"/>
      <c r="K141" s="60"/>
      <c r="L141" s="60"/>
      <c r="M141" s="60"/>
      <c r="N141" s="60"/>
      <c r="O141" s="61"/>
      <c r="P141" s="61"/>
      <c r="Q141" s="9"/>
    </row>
    <row r="142" spans="1:17" x14ac:dyDescent="0.25">
      <c r="A142" s="41">
        <v>10002</v>
      </c>
      <c r="B142" s="42" t="s">
        <v>30</v>
      </c>
      <c r="C142" s="62">
        <v>1000</v>
      </c>
      <c r="D142" s="44">
        <f t="shared" si="25"/>
        <v>5.44</v>
      </c>
      <c r="E142" s="45">
        <f t="shared" si="24"/>
        <v>994.56</v>
      </c>
      <c r="F142" s="63"/>
      <c r="G142" s="64">
        <v>5.44</v>
      </c>
      <c r="H142" s="46"/>
      <c r="I142" s="46"/>
      <c r="J142" s="48"/>
      <c r="K142" s="49"/>
      <c r="L142" s="49"/>
      <c r="M142" s="49"/>
      <c r="N142" s="49"/>
      <c r="O142" s="50"/>
      <c r="P142" s="50"/>
      <c r="Q142" s="51">
        <f>796.94+2858.32</f>
        <v>3655.26</v>
      </c>
    </row>
    <row r="143" spans="1:17" x14ac:dyDescent="0.25">
      <c r="A143" s="4">
        <v>10003</v>
      </c>
      <c r="B143" s="53" t="s">
        <v>31</v>
      </c>
      <c r="C143" s="62">
        <v>100</v>
      </c>
      <c r="D143" s="55">
        <f t="shared" si="25"/>
        <v>0</v>
      </c>
      <c r="E143" s="56">
        <f t="shared" si="24"/>
        <v>100</v>
      </c>
      <c r="F143" s="66"/>
      <c r="G143" s="58"/>
      <c r="H143" s="57"/>
      <c r="I143" s="57"/>
      <c r="J143" s="59"/>
      <c r="K143" s="60"/>
      <c r="L143" s="60"/>
      <c r="M143" s="60"/>
      <c r="N143" s="60"/>
      <c r="O143" s="61"/>
      <c r="P143" s="61"/>
      <c r="Q143" s="9"/>
    </row>
    <row r="144" spans="1:17" x14ac:dyDescent="0.25">
      <c r="A144" s="41">
        <v>10006</v>
      </c>
      <c r="B144" s="67" t="s">
        <v>32</v>
      </c>
      <c r="C144" s="62">
        <v>600</v>
      </c>
      <c r="D144" s="44">
        <f t="shared" si="25"/>
        <v>0</v>
      </c>
      <c r="E144" s="45">
        <f t="shared" si="24"/>
        <v>600</v>
      </c>
      <c r="F144" s="46"/>
      <c r="G144" s="64"/>
      <c r="H144" s="46"/>
      <c r="I144" s="46"/>
      <c r="J144" s="48"/>
      <c r="K144" s="49"/>
      <c r="L144" s="49"/>
      <c r="M144" s="49"/>
      <c r="N144" s="49"/>
      <c r="O144" s="50"/>
      <c r="P144" s="50"/>
      <c r="Q144" s="51"/>
    </row>
    <row r="145" spans="1:18" x14ac:dyDescent="0.25">
      <c r="A145" s="4">
        <v>20001</v>
      </c>
      <c r="B145" s="53" t="s">
        <v>47</v>
      </c>
      <c r="C145" s="62">
        <v>100</v>
      </c>
      <c r="D145" s="55">
        <f t="shared" si="25"/>
        <v>0</v>
      </c>
      <c r="E145" s="56">
        <f t="shared" si="24"/>
        <v>100</v>
      </c>
      <c r="F145" s="57"/>
      <c r="G145" s="58"/>
      <c r="H145" s="57"/>
      <c r="I145" s="57"/>
      <c r="J145" s="59"/>
      <c r="K145" s="60"/>
      <c r="L145" s="60"/>
      <c r="M145" s="60"/>
      <c r="N145" s="60"/>
      <c r="O145" s="61"/>
      <c r="P145" s="61"/>
      <c r="Q145" s="9"/>
    </row>
    <row r="146" spans="1:18" x14ac:dyDescent="0.25">
      <c r="A146" s="41">
        <v>20002</v>
      </c>
      <c r="B146" s="67" t="s">
        <v>48</v>
      </c>
      <c r="C146" s="62">
        <v>100</v>
      </c>
      <c r="D146" s="44">
        <f t="shared" si="25"/>
        <v>0</v>
      </c>
      <c r="E146" s="45">
        <f t="shared" si="24"/>
        <v>100</v>
      </c>
      <c r="F146" s="46"/>
      <c r="G146" s="64"/>
      <c r="H146" s="46"/>
      <c r="I146" s="46"/>
      <c r="J146" s="48"/>
      <c r="K146" s="49"/>
      <c r="L146" s="49"/>
      <c r="M146" s="49"/>
      <c r="N146" s="49"/>
      <c r="O146" s="50"/>
      <c r="P146" s="50"/>
      <c r="Q146" s="51"/>
    </row>
    <row r="147" spans="1:18" x14ac:dyDescent="0.25">
      <c r="A147" s="4">
        <v>20003</v>
      </c>
      <c r="B147" s="53" t="s">
        <v>35</v>
      </c>
      <c r="C147" s="62">
        <v>2200</v>
      </c>
      <c r="D147" s="55">
        <f t="shared" si="25"/>
        <v>110</v>
      </c>
      <c r="E147" s="56">
        <f t="shared" si="24"/>
        <v>2090</v>
      </c>
      <c r="F147" s="57"/>
      <c r="G147" s="58"/>
      <c r="H147" s="57"/>
      <c r="I147" s="57"/>
      <c r="J147" s="59"/>
      <c r="K147" s="60">
        <v>110</v>
      </c>
      <c r="L147" s="60"/>
      <c r="M147" s="60"/>
      <c r="N147" s="60"/>
      <c r="O147" s="61"/>
      <c r="P147" s="61"/>
      <c r="Q147" s="9"/>
    </row>
    <row r="148" spans="1:18" x14ac:dyDescent="0.25">
      <c r="A148" s="41">
        <v>30001</v>
      </c>
      <c r="B148" s="67" t="s">
        <v>36</v>
      </c>
      <c r="C148" s="62">
        <v>2500</v>
      </c>
      <c r="D148" s="44">
        <f t="shared" si="25"/>
        <v>1665</v>
      </c>
      <c r="E148" s="45">
        <f t="shared" si="24"/>
        <v>835</v>
      </c>
      <c r="F148" s="46"/>
      <c r="G148" s="64"/>
      <c r="H148" s="46"/>
      <c r="I148" s="46">
        <v>1290</v>
      </c>
      <c r="J148" s="48">
        <v>375</v>
      </c>
      <c r="K148" s="49"/>
      <c r="L148" s="49"/>
      <c r="M148" s="49"/>
      <c r="N148" s="49"/>
      <c r="O148" s="50"/>
      <c r="P148" s="50"/>
      <c r="Q148" s="51"/>
    </row>
    <row r="149" spans="1:18" x14ac:dyDescent="0.25">
      <c r="A149" s="20">
        <v>30002</v>
      </c>
      <c r="B149" s="101" t="s">
        <v>49</v>
      </c>
      <c r="C149" s="107">
        <v>450</v>
      </c>
      <c r="D149" s="55">
        <f t="shared" si="25"/>
        <v>0</v>
      </c>
      <c r="E149" s="56">
        <f t="shared" si="24"/>
        <v>450</v>
      </c>
      <c r="F149" s="57"/>
      <c r="G149" s="58"/>
      <c r="H149" s="57"/>
      <c r="I149" s="4"/>
      <c r="J149" s="59"/>
      <c r="K149" s="60"/>
      <c r="L149" s="60"/>
      <c r="M149" s="60"/>
      <c r="N149" s="60"/>
      <c r="O149" s="61"/>
      <c r="P149" s="61"/>
      <c r="Q149" s="9"/>
    </row>
    <row r="150" spans="1:18" x14ac:dyDescent="0.25">
      <c r="A150" s="70" t="s">
        <v>38</v>
      </c>
      <c r="C150" s="103">
        <f>SUM(C140:C149)</f>
        <v>9650</v>
      </c>
      <c r="D150" s="72">
        <f>F150+G150+H150+I150+J150+K150+L150+M150+N150+O150+P150+Q150</f>
        <v>9479.8300000000017</v>
      </c>
      <c r="E150" s="73">
        <f t="shared" si="24"/>
        <v>170.16999999999825</v>
      </c>
      <c r="F150" s="74">
        <f t="shared" ref="F150:Q150" si="26">SUM(F140:F149)</f>
        <v>324.5</v>
      </c>
      <c r="G150" s="95">
        <f t="shared" si="26"/>
        <v>5.44</v>
      </c>
      <c r="H150" s="74">
        <f t="shared" si="26"/>
        <v>30</v>
      </c>
      <c r="I150" s="74">
        <f t="shared" si="26"/>
        <v>1290</v>
      </c>
      <c r="J150" s="96">
        <f t="shared" si="26"/>
        <v>850.16000000000008</v>
      </c>
      <c r="K150" s="97">
        <f t="shared" si="26"/>
        <v>488.95</v>
      </c>
      <c r="L150" s="97">
        <f t="shared" si="26"/>
        <v>516.11</v>
      </c>
      <c r="M150" s="97">
        <f t="shared" si="26"/>
        <v>0</v>
      </c>
      <c r="N150" s="97">
        <f t="shared" si="26"/>
        <v>1344.35</v>
      </c>
      <c r="O150" s="74">
        <f t="shared" si="26"/>
        <v>376.8</v>
      </c>
      <c r="P150" s="74">
        <f t="shared" si="26"/>
        <v>56</v>
      </c>
      <c r="Q150" s="74">
        <f t="shared" si="26"/>
        <v>4197.5200000000004</v>
      </c>
      <c r="R150" s="60"/>
    </row>
    <row r="151" spans="1:18" x14ac:dyDescent="0.25">
      <c r="C151" s="4"/>
      <c r="D151" s="4"/>
      <c r="E151" s="4"/>
      <c r="F151" s="4"/>
      <c r="G151" s="4"/>
      <c r="H151" s="4"/>
      <c r="I151" s="4"/>
      <c r="J151" s="4"/>
      <c r="N151" s="59"/>
      <c r="O151" s="60"/>
      <c r="P151" s="60"/>
      <c r="Q151" s="60"/>
      <c r="R151" s="60"/>
    </row>
    <row r="152" spans="1:18" x14ac:dyDescent="0.25">
      <c r="C152" s="4"/>
      <c r="D152" s="4"/>
      <c r="E152" s="4"/>
      <c r="F152" s="4"/>
      <c r="G152" s="4"/>
      <c r="H152" s="4"/>
      <c r="I152" s="4"/>
      <c r="J152" s="4"/>
      <c r="N152" s="59"/>
      <c r="O152" s="60"/>
      <c r="P152" s="60"/>
      <c r="Q152" s="60"/>
      <c r="R152" s="60"/>
    </row>
    <row r="153" spans="1:18" x14ac:dyDescent="0.25">
      <c r="A153" s="108" t="s">
        <v>59</v>
      </c>
      <c r="B153" s="32" t="s">
        <v>12</v>
      </c>
      <c r="C153" s="33" t="s">
        <v>60</v>
      </c>
      <c r="D153" s="105" t="s">
        <v>14</v>
      </c>
      <c r="E153" s="84" t="s">
        <v>15</v>
      </c>
      <c r="F153" s="36" t="s">
        <v>16</v>
      </c>
      <c r="G153" s="37" t="s">
        <v>17</v>
      </c>
      <c r="H153" s="38" t="s">
        <v>18</v>
      </c>
      <c r="I153" s="38" t="s">
        <v>19</v>
      </c>
      <c r="J153" s="39" t="s">
        <v>20</v>
      </c>
      <c r="K153" s="40" t="s">
        <v>21</v>
      </c>
      <c r="L153" s="40" t="s">
        <v>22</v>
      </c>
      <c r="M153" s="40" t="s">
        <v>23</v>
      </c>
      <c r="N153" s="40" t="s">
        <v>24</v>
      </c>
      <c r="O153" s="38" t="s">
        <v>25</v>
      </c>
      <c r="P153" s="38" t="s">
        <v>26</v>
      </c>
      <c r="Q153" s="38" t="s">
        <v>27</v>
      </c>
    </row>
    <row r="154" spans="1:18" x14ac:dyDescent="0.25">
      <c r="A154" s="41">
        <v>10000</v>
      </c>
      <c r="B154" s="42" t="s">
        <v>28</v>
      </c>
      <c r="C154" s="43">
        <v>2500</v>
      </c>
      <c r="D154" s="44">
        <f>F154+G154+H154+I154+J154+K154+L154+M154+N154+O154+P154+Q154</f>
        <v>4124.01</v>
      </c>
      <c r="E154" s="45">
        <f t="shared" ref="E154:E164" si="27">C154-D154</f>
        <v>-1624.0100000000002</v>
      </c>
      <c r="F154" s="46"/>
      <c r="G154" s="47">
        <f>99.37+177.6</f>
        <v>276.97000000000003</v>
      </c>
      <c r="H154" s="46">
        <f>207.98+239.74+25+183.45</f>
        <v>656.17000000000007</v>
      </c>
      <c r="I154" s="46">
        <f>161.47+221.9+35</f>
        <v>418.37</v>
      </c>
      <c r="J154" s="48">
        <f>161.9+149.85+25+30</f>
        <v>366.75</v>
      </c>
      <c r="K154" s="49">
        <f>136.85+183.45+35</f>
        <v>355.29999999999995</v>
      </c>
      <c r="L154" s="49">
        <f>35+35+35+35</f>
        <v>140</v>
      </c>
      <c r="M154" s="49">
        <f>214.05+35</f>
        <v>249.05</v>
      </c>
      <c r="N154" s="49">
        <f>193+35+35</f>
        <v>263</v>
      </c>
      <c r="O154" s="50"/>
      <c r="P154" s="50">
        <f>618+35+35+35</f>
        <v>723</v>
      </c>
      <c r="Q154" s="51">
        <f>134.2+134.2+237+30+35+35+35+35</f>
        <v>675.4</v>
      </c>
    </row>
    <row r="155" spans="1:18" x14ac:dyDescent="0.25">
      <c r="A155" s="4">
        <v>10001</v>
      </c>
      <c r="B155" s="53" t="s">
        <v>58</v>
      </c>
      <c r="C155" s="80">
        <v>100</v>
      </c>
      <c r="D155" s="55">
        <f t="shared" ref="D155:D163" si="28">F155+G155+H155+I155+J155+K155</f>
        <v>0</v>
      </c>
      <c r="E155" s="56">
        <f t="shared" si="27"/>
        <v>100</v>
      </c>
      <c r="F155" s="57"/>
      <c r="G155" s="58"/>
      <c r="H155" s="57"/>
      <c r="I155" s="57"/>
      <c r="J155" s="59"/>
      <c r="K155" s="60"/>
      <c r="L155" s="60"/>
      <c r="M155" s="60"/>
      <c r="N155" s="60"/>
      <c r="O155" s="61"/>
      <c r="P155" s="61"/>
      <c r="Q155" s="9"/>
    </row>
    <row r="156" spans="1:18" x14ac:dyDescent="0.25">
      <c r="A156" s="41">
        <v>10002</v>
      </c>
      <c r="B156" s="42" t="s">
        <v>30</v>
      </c>
      <c r="C156" s="62">
        <v>1000</v>
      </c>
      <c r="D156" s="44">
        <f t="shared" si="28"/>
        <v>0</v>
      </c>
      <c r="E156" s="45">
        <f t="shared" si="27"/>
        <v>1000</v>
      </c>
      <c r="F156" s="63"/>
      <c r="G156" s="64"/>
      <c r="H156" s="46"/>
      <c r="I156" s="46"/>
      <c r="J156" s="48"/>
      <c r="K156" s="49"/>
      <c r="L156" s="49"/>
      <c r="M156" s="49"/>
      <c r="N156" s="49"/>
      <c r="O156" s="50"/>
      <c r="P156" s="50"/>
      <c r="Q156" s="51"/>
    </row>
    <row r="157" spans="1:18" x14ac:dyDescent="0.25">
      <c r="A157" s="4">
        <v>10003</v>
      </c>
      <c r="B157" s="53" t="s">
        <v>31</v>
      </c>
      <c r="C157" s="62">
        <v>100</v>
      </c>
      <c r="D157" s="55">
        <f t="shared" si="28"/>
        <v>0</v>
      </c>
      <c r="E157" s="56">
        <f t="shared" si="27"/>
        <v>100</v>
      </c>
      <c r="F157" s="66"/>
      <c r="G157" s="58"/>
      <c r="H157" s="57"/>
      <c r="I157" s="57"/>
      <c r="J157" s="59"/>
      <c r="K157" s="60"/>
      <c r="L157" s="60"/>
      <c r="M157" s="60"/>
      <c r="N157" s="60"/>
      <c r="O157" s="61"/>
      <c r="P157" s="61"/>
      <c r="Q157" s="9"/>
    </row>
    <row r="158" spans="1:18" x14ac:dyDescent="0.25">
      <c r="A158" s="41">
        <v>10006</v>
      </c>
      <c r="B158" s="67" t="s">
        <v>32</v>
      </c>
      <c r="C158" s="62">
        <v>600</v>
      </c>
      <c r="D158" s="44">
        <f t="shared" si="28"/>
        <v>0</v>
      </c>
      <c r="E158" s="45">
        <f t="shared" si="27"/>
        <v>600</v>
      </c>
      <c r="F158" s="46"/>
      <c r="G158" s="64"/>
      <c r="H158" s="46"/>
      <c r="I158" s="46"/>
      <c r="J158" s="48"/>
      <c r="K158" s="49"/>
      <c r="L158" s="49"/>
      <c r="M158" s="49"/>
      <c r="N158" s="49"/>
      <c r="O158" s="50"/>
      <c r="P158" s="50"/>
      <c r="Q158" s="51"/>
    </row>
    <row r="159" spans="1:18" x14ac:dyDescent="0.25">
      <c r="A159" s="4">
        <v>20001</v>
      </c>
      <c r="B159" s="53" t="s">
        <v>47</v>
      </c>
      <c r="C159" s="62">
        <v>100</v>
      </c>
      <c r="D159" s="55">
        <f t="shared" si="28"/>
        <v>0</v>
      </c>
      <c r="E159" s="56">
        <f t="shared" si="27"/>
        <v>100</v>
      </c>
      <c r="F159" s="57"/>
      <c r="G159" s="58"/>
      <c r="H159" s="57"/>
      <c r="I159" s="57"/>
      <c r="J159" s="59"/>
      <c r="K159" s="60"/>
      <c r="L159" s="60"/>
      <c r="M159" s="60"/>
      <c r="N159" s="60"/>
      <c r="O159" s="61"/>
      <c r="P159" s="61"/>
      <c r="Q159" s="9"/>
    </row>
    <row r="160" spans="1:18" x14ac:dyDescent="0.25">
      <c r="A160" s="41">
        <v>20002</v>
      </c>
      <c r="B160" s="67" t="s">
        <v>48</v>
      </c>
      <c r="C160" s="62">
        <v>100</v>
      </c>
      <c r="D160" s="44">
        <f t="shared" si="28"/>
        <v>0</v>
      </c>
      <c r="E160" s="45">
        <f t="shared" si="27"/>
        <v>100</v>
      </c>
      <c r="F160" s="46"/>
      <c r="G160" s="64"/>
      <c r="H160" s="46"/>
      <c r="I160" s="46"/>
      <c r="J160" s="48"/>
      <c r="K160" s="49"/>
      <c r="L160" s="49"/>
      <c r="M160" s="49"/>
      <c r="N160" s="49"/>
      <c r="O160" s="50"/>
      <c r="P160" s="50"/>
      <c r="Q160" s="51"/>
    </row>
    <row r="161" spans="1:18" x14ac:dyDescent="0.25">
      <c r="A161" s="4">
        <v>20003</v>
      </c>
      <c r="B161" s="53" t="s">
        <v>35</v>
      </c>
      <c r="C161" s="62">
        <v>2200</v>
      </c>
      <c r="D161" s="55">
        <f t="shared" si="28"/>
        <v>94.45</v>
      </c>
      <c r="E161" s="56">
        <f t="shared" si="27"/>
        <v>2105.5500000000002</v>
      </c>
      <c r="F161" s="57"/>
      <c r="G161" s="58"/>
      <c r="H161" s="57"/>
      <c r="I161" s="57"/>
      <c r="J161" s="59"/>
      <c r="K161" s="60">
        <v>94.45</v>
      </c>
      <c r="L161" s="60"/>
      <c r="M161" s="60"/>
      <c r="N161" s="60"/>
      <c r="O161" s="61"/>
      <c r="P161" s="61"/>
      <c r="Q161" s="9">
        <v>1345.2</v>
      </c>
    </row>
    <row r="162" spans="1:18" x14ac:dyDescent="0.25">
      <c r="A162" s="41">
        <v>30001</v>
      </c>
      <c r="B162" s="67" t="s">
        <v>36</v>
      </c>
      <c r="C162" s="62">
        <v>2500</v>
      </c>
      <c r="D162" s="44">
        <f>F162+G162+H162+I162+J162+K162+L162</f>
        <v>2224.12</v>
      </c>
      <c r="E162" s="45">
        <f t="shared" si="27"/>
        <v>275.88000000000011</v>
      </c>
      <c r="F162" s="46"/>
      <c r="G162" s="64"/>
      <c r="H162" s="46"/>
      <c r="I162" s="46"/>
      <c r="J162" s="48">
        <f>28.49+123.03+1537.5+185+75+8.4+41.7</f>
        <v>1999.1200000000001</v>
      </c>
      <c r="K162" s="49"/>
      <c r="L162" s="49">
        <v>225</v>
      </c>
      <c r="M162" s="49"/>
      <c r="N162" s="49"/>
      <c r="O162" s="50"/>
      <c r="P162" s="50"/>
      <c r="Q162" s="51"/>
    </row>
    <row r="163" spans="1:18" x14ac:dyDescent="0.25">
      <c r="A163" s="20">
        <v>30002</v>
      </c>
      <c r="B163" s="101" t="s">
        <v>49</v>
      </c>
      <c r="C163" s="107">
        <v>450</v>
      </c>
      <c r="D163" s="55">
        <f t="shared" si="28"/>
        <v>0</v>
      </c>
      <c r="E163" s="56">
        <f t="shared" si="27"/>
        <v>450</v>
      </c>
      <c r="F163" s="57"/>
      <c r="G163" s="58"/>
      <c r="H163" s="57"/>
      <c r="I163" s="4"/>
      <c r="J163" s="59"/>
      <c r="K163" s="60"/>
      <c r="L163" s="60"/>
      <c r="M163" s="60"/>
      <c r="N163" s="60"/>
      <c r="O163" s="61"/>
      <c r="P163" s="61"/>
      <c r="Q163" s="9"/>
    </row>
    <row r="164" spans="1:18" x14ac:dyDescent="0.25">
      <c r="A164" s="70" t="s">
        <v>38</v>
      </c>
      <c r="C164" s="103">
        <f>SUM(C154:C163)</f>
        <v>9650</v>
      </c>
      <c r="D164" s="72">
        <f>F164+G164+H164+I164+J164+K164+L164+M164+N164+O164+P164+Q164</f>
        <v>7787.7800000000007</v>
      </c>
      <c r="E164" s="73">
        <f t="shared" si="27"/>
        <v>1862.2199999999993</v>
      </c>
      <c r="F164" s="74">
        <f t="shared" ref="F164:Q164" si="29">SUM(F154:F163)</f>
        <v>0</v>
      </c>
      <c r="G164" s="95">
        <f t="shared" si="29"/>
        <v>276.97000000000003</v>
      </c>
      <c r="H164" s="74">
        <f t="shared" si="29"/>
        <v>656.17000000000007</v>
      </c>
      <c r="I164" s="74">
        <f t="shared" si="29"/>
        <v>418.37</v>
      </c>
      <c r="J164" s="96">
        <f t="shared" si="29"/>
        <v>2365.87</v>
      </c>
      <c r="K164" s="97">
        <f t="shared" si="29"/>
        <v>449.74999999999994</v>
      </c>
      <c r="L164" s="97">
        <f t="shared" si="29"/>
        <v>365</v>
      </c>
      <c r="M164" s="97">
        <f t="shared" si="29"/>
        <v>249.05</v>
      </c>
      <c r="N164" s="97">
        <f t="shared" si="29"/>
        <v>263</v>
      </c>
      <c r="O164" s="74">
        <f t="shared" si="29"/>
        <v>0</v>
      </c>
      <c r="P164" s="74">
        <f t="shared" si="29"/>
        <v>723</v>
      </c>
      <c r="Q164" s="74">
        <f t="shared" si="29"/>
        <v>2020.6</v>
      </c>
    </row>
    <row r="165" spans="1:18" x14ac:dyDescent="0.25">
      <c r="C165" s="4"/>
      <c r="D165" s="4"/>
      <c r="E165" s="4"/>
      <c r="F165" s="4"/>
      <c r="G165" s="4"/>
      <c r="H165" s="4"/>
      <c r="I165" s="4"/>
      <c r="J165" s="4"/>
      <c r="N165" s="59"/>
      <c r="O165" s="60"/>
      <c r="P165" s="60"/>
      <c r="Q165" s="60"/>
    </row>
    <row r="166" spans="1:18" x14ac:dyDescent="0.25">
      <c r="C166" s="4"/>
      <c r="D166" s="4"/>
      <c r="E166" s="4"/>
      <c r="F166" s="4"/>
      <c r="G166" s="4"/>
      <c r="H166" s="4"/>
      <c r="I166" s="4"/>
      <c r="J166" s="4"/>
      <c r="N166" s="59"/>
      <c r="O166" s="60"/>
      <c r="P166" s="60"/>
      <c r="Q166" s="60"/>
    </row>
    <row r="167" spans="1:18" x14ac:dyDescent="0.25">
      <c r="C167" s="4"/>
      <c r="D167" s="4"/>
      <c r="E167" s="4"/>
      <c r="F167" s="4"/>
      <c r="G167" s="4"/>
      <c r="H167" s="4"/>
      <c r="I167" s="4"/>
      <c r="J167" s="4"/>
      <c r="R167" s="60">
        <f>SUM(G182:Q182)</f>
        <v>4436.6499999999996</v>
      </c>
    </row>
    <row r="168" spans="1:18" x14ac:dyDescent="0.25">
      <c r="C168" s="4"/>
      <c r="D168" s="4"/>
      <c r="E168" s="4"/>
      <c r="F168" s="4"/>
      <c r="G168" s="4"/>
      <c r="H168" s="4"/>
      <c r="I168" s="4"/>
      <c r="J168" s="4"/>
      <c r="R168" s="60">
        <f>SUM(G183:Q183)</f>
        <v>2843.8299999999995</v>
      </c>
    </row>
    <row r="169" spans="1:18" x14ac:dyDescent="0.25">
      <c r="A169" s="108" t="s">
        <v>61</v>
      </c>
      <c r="B169" s="32" t="s">
        <v>12</v>
      </c>
      <c r="C169" s="33" t="s">
        <v>62</v>
      </c>
      <c r="D169" s="105" t="s">
        <v>14</v>
      </c>
      <c r="E169" s="84" t="s">
        <v>15</v>
      </c>
      <c r="F169" s="4"/>
      <c r="G169" s="4"/>
      <c r="H169" s="4"/>
      <c r="I169" s="4"/>
      <c r="J169" s="4"/>
    </row>
    <row r="170" spans="1:18" x14ac:dyDescent="0.25">
      <c r="A170" s="41">
        <v>10000</v>
      </c>
      <c r="B170" s="42" t="s">
        <v>63</v>
      </c>
      <c r="C170" s="43">
        <v>2500</v>
      </c>
      <c r="D170" s="44">
        <v>2145.9700000000003</v>
      </c>
      <c r="E170" s="45">
        <f t="shared" ref="E170:E180" si="30">C170-D170</f>
        <v>354.02999999999975</v>
      </c>
      <c r="F170" s="4"/>
      <c r="G170" s="4"/>
      <c r="H170" s="4"/>
      <c r="I170" s="4"/>
      <c r="J170" s="4"/>
    </row>
    <row r="171" spans="1:18" x14ac:dyDescent="0.25">
      <c r="A171" s="4">
        <v>10001</v>
      </c>
      <c r="B171" s="53" t="s">
        <v>58</v>
      </c>
      <c r="C171" s="80">
        <v>100</v>
      </c>
      <c r="D171" s="55">
        <v>0</v>
      </c>
      <c r="E171" s="56">
        <f t="shared" si="30"/>
        <v>100</v>
      </c>
      <c r="F171" s="109"/>
      <c r="G171" s="109"/>
      <c r="H171" s="4"/>
      <c r="I171" s="4"/>
      <c r="J171" s="110"/>
    </row>
    <row r="172" spans="1:18" x14ac:dyDescent="0.25">
      <c r="A172" s="41">
        <v>10002</v>
      </c>
      <c r="B172" s="42" t="s">
        <v>30</v>
      </c>
      <c r="C172" s="62">
        <v>1000</v>
      </c>
      <c r="D172" s="44">
        <v>164.97</v>
      </c>
      <c r="E172" s="45">
        <f t="shared" si="30"/>
        <v>835.03</v>
      </c>
      <c r="J172" s="4"/>
    </row>
    <row r="173" spans="1:18" x14ac:dyDescent="0.25">
      <c r="A173" s="4">
        <v>10003</v>
      </c>
      <c r="B173" s="53" t="s">
        <v>31</v>
      </c>
      <c r="C173" s="62">
        <v>100</v>
      </c>
      <c r="D173" s="55">
        <v>0</v>
      </c>
      <c r="E173" s="56">
        <f t="shared" si="30"/>
        <v>100</v>
      </c>
      <c r="J173" s="4"/>
    </row>
    <row r="174" spans="1:18" x14ac:dyDescent="0.25">
      <c r="A174" s="41">
        <v>10006</v>
      </c>
      <c r="B174" s="67" t="s">
        <v>32</v>
      </c>
      <c r="C174" s="62">
        <v>600</v>
      </c>
      <c r="D174" s="44">
        <v>0</v>
      </c>
      <c r="E174" s="45">
        <f t="shared" si="30"/>
        <v>600</v>
      </c>
    </row>
    <row r="175" spans="1:18" x14ac:dyDescent="0.25">
      <c r="A175" s="4">
        <v>20001</v>
      </c>
      <c r="B175" s="53" t="s">
        <v>47</v>
      </c>
      <c r="C175" s="62">
        <v>100</v>
      </c>
      <c r="D175" s="55">
        <v>0</v>
      </c>
      <c r="E175" s="56">
        <f t="shared" si="30"/>
        <v>100</v>
      </c>
    </row>
    <row r="176" spans="1:18" x14ac:dyDescent="0.25">
      <c r="A176" s="41">
        <v>20002</v>
      </c>
      <c r="B176" s="67" t="s">
        <v>48</v>
      </c>
      <c r="C176" s="62">
        <v>100</v>
      </c>
      <c r="D176" s="44">
        <v>0</v>
      </c>
      <c r="E176" s="45">
        <f t="shared" si="30"/>
        <v>100</v>
      </c>
    </row>
    <row r="177" spans="1:17" x14ac:dyDescent="0.25">
      <c r="A177" s="4">
        <v>20003</v>
      </c>
      <c r="B177" s="53" t="s">
        <v>35</v>
      </c>
      <c r="C177" s="62">
        <v>2200</v>
      </c>
      <c r="D177" s="55">
        <v>2679.02</v>
      </c>
      <c r="E177" s="56">
        <f t="shared" si="30"/>
        <v>-479.02</v>
      </c>
    </row>
    <row r="178" spans="1:17" x14ac:dyDescent="0.25">
      <c r="A178" s="41">
        <v>30001</v>
      </c>
      <c r="B178" s="67" t="s">
        <v>36</v>
      </c>
      <c r="C178" s="62">
        <v>2500</v>
      </c>
      <c r="D178" s="44">
        <v>2257.98</v>
      </c>
      <c r="E178" s="45">
        <f t="shared" si="30"/>
        <v>242.01999999999998</v>
      </c>
      <c r="F178" s="4"/>
      <c r="G178" s="4"/>
      <c r="H178" s="4"/>
      <c r="I178" s="4"/>
    </row>
    <row r="179" spans="1:17" x14ac:dyDescent="0.25">
      <c r="A179" s="20">
        <v>30002</v>
      </c>
      <c r="B179" s="101" t="s">
        <v>49</v>
      </c>
      <c r="C179" s="107">
        <v>450</v>
      </c>
      <c r="D179" s="55">
        <v>0</v>
      </c>
      <c r="E179" s="56">
        <f t="shared" si="30"/>
        <v>450</v>
      </c>
      <c r="F179" s="4"/>
      <c r="G179" s="4"/>
      <c r="H179" s="4"/>
      <c r="I179" s="4"/>
    </row>
    <row r="180" spans="1:17" x14ac:dyDescent="0.25">
      <c r="A180" s="70" t="s">
        <v>38</v>
      </c>
      <c r="C180" s="103">
        <f>SUM(C170:C179)</f>
        <v>9650</v>
      </c>
      <c r="D180" s="72">
        <v>11030.810000000003</v>
      </c>
      <c r="E180" s="73">
        <f t="shared" si="30"/>
        <v>-1380.8100000000031</v>
      </c>
      <c r="F180" s="4"/>
      <c r="G180" s="4"/>
      <c r="H180" s="4"/>
      <c r="I180" s="4"/>
    </row>
    <row r="181" spans="1:17" x14ac:dyDescent="0.25">
      <c r="A181" s="8"/>
      <c r="B181" s="8"/>
      <c r="C181" s="4"/>
      <c r="D181" s="4"/>
      <c r="E181" s="4"/>
      <c r="F181" s="4"/>
      <c r="G181" s="4"/>
      <c r="H181" s="4"/>
      <c r="I181" s="4"/>
    </row>
    <row r="182" spans="1:17" x14ac:dyDescent="0.25">
      <c r="A182" s="8"/>
      <c r="B182" s="8"/>
      <c r="C182" s="4"/>
      <c r="D182" s="4"/>
      <c r="E182" s="4" t="s">
        <v>64</v>
      </c>
      <c r="F182" s="4" t="s">
        <v>65</v>
      </c>
      <c r="G182" s="4">
        <f>204.3+148.95</f>
        <v>353.25</v>
      </c>
      <c r="H182" s="4">
        <f>160.23+216.98+100.48</f>
        <v>477.69</v>
      </c>
      <c r="I182" s="4">
        <f>199.05+199.05</f>
        <v>398.1</v>
      </c>
      <c r="J182" s="4">
        <f>68.98+198.39+212.85</f>
        <v>480.22</v>
      </c>
      <c r="K182" s="4">
        <f>202.24+199.05</f>
        <v>401.29</v>
      </c>
      <c r="L182" s="4">
        <v>190.24</v>
      </c>
      <c r="M182" s="4">
        <f>226.39+176.05</f>
        <v>402.44</v>
      </c>
      <c r="N182" s="59">
        <f>192.85+268.3</f>
        <v>461.15</v>
      </c>
      <c r="O182" s="60">
        <f>58.97+177.15+218.95</f>
        <v>455.07</v>
      </c>
      <c r="P182" s="60">
        <f>203.35+197.35</f>
        <v>400.7</v>
      </c>
      <c r="Q182" s="60">
        <f>230.9+185.6</f>
        <v>416.5</v>
      </c>
    </row>
    <row r="183" spans="1:17" x14ac:dyDescent="0.25">
      <c r="A183" s="8"/>
      <c r="B183" s="8"/>
      <c r="C183" s="4"/>
      <c r="D183" s="4"/>
      <c r="E183" s="4"/>
      <c r="F183" s="4" t="s">
        <v>66</v>
      </c>
      <c r="G183" s="4">
        <v>102.96</v>
      </c>
      <c r="H183" s="4">
        <f>97.1+175.49</f>
        <v>272.59000000000003</v>
      </c>
      <c r="I183" s="4">
        <f>95.42+100+83.07</f>
        <v>278.49</v>
      </c>
      <c r="J183" s="4">
        <f>97.46+133.45+7.67</f>
        <v>238.57999999999996</v>
      </c>
      <c r="K183" s="4">
        <f>127.74+134</f>
        <v>261.74</v>
      </c>
      <c r="L183" s="4">
        <f>224.17+97.61</f>
        <v>321.77999999999997</v>
      </c>
      <c r="M183" s="4">
        <v>103.36</v>
      </c>
      <c r="N183" s="4">
        <f>183.08+100.46+102.9</f>
        <v>386.44000000000005</v>
      </c>
      <c r="O183" s="4">
        <f>171.64+12.98+135.72+66.1</f>
        <v>386.43999999999994</v>
      </c>
      <c r="P183" s="4">
        <f>23.12</f>
        <v>23.12</v>
      </c>
      <c r="Q183" s="4">
        <f>202.85+2.49+155.53+107.46</f>
        <v>468.33</v>
      </c>
    </row>
    <row r="184" spans="1:17" x14ac:dyDescent="0.25">
      <c r="A184" s="8"/>
      <c r="B184" s="8"/>
      <c r="C184" s="4"/>
      <c r="D184" s="4"/>
      <c r="E184" s="4"/>
      <c r="F184" s="4"/>
      <c r="G184" s="4"/>
      <c r="H184" s="4"/>
      <c r="I184" s="4"/>
    </row>
    <row r="185" spans="1:17" x14ac:dyDescent="0.25">
      <c r="A185" s="8"/>
      <c r="B185" s="8"/>
      <c r="C185" s="4"/>
      <c r="D185" s="4"/>
      <c r="E185" s="4"/>
      <c r="F185" s="4"/>
      <c r="G185" s="4"/>
      <c r="H185" s="4"/>
      <c r="I185" s="4"/>
    </row>
    <row r="186" spans="1:17" x14ac:dyDescent="0.25">
      <c r="B186" s="8"/>
      <c r="C186" s="4"/>
      <c r="D186" s="4"/>
      <c r="E186" s="4"/>
      <c r="F186" s="4"/>
      <c r="G186" s="4"/>
      <c r="H186" s="4"/>
      <c r="I186" s="4"/>
    </row>
    <row r="187" spans="1:17" ht="27" x14ac:dyDescent="0.25">
      <c r="A187" s="108" t="s">
        <v>67</v>
      </c>
      <c r="B187" s="32" t="s">
        <v>12</v>
      </c>
      <c r="C187" s="111" t="s">
        <v>68</v>
      </c>
      <c r="D187" s="112" t="s">
        <v>69</v>
      </c>
      <c r="E187" s="113" t="s">
        <v>15</v>
      </c>
      <c r="F187" s="4"/>
      <c r="G187" s="4"/>
      <c r="H187" s="4"/>
      <c r="I187" s="4"/>
    </row>
    <row r="188" spans="1:17" x14ac:dyDescent="0.25">
      <c r="A188" s="4">
        <v>10000</v>
      </c>
      <c r="B188" s="114" t="s">
        <v>63</v>
      </c>
      <c r="C188" s="115">
        <v>2500</v>
      </c>
      <c r="D188" s="116">
        <f>1307.15+35+37.48+2426.51+7.67+280</f>
        <v>4093.8100000000004</v>
      </c>
      <c r="E188" s="61">
        <f t="shared" ref="E188:E198" si="31">C188-D188</f>
        <v>-1593.8100000000004</v>
      </c>
      <c r="F188" s="4"/>
      <c r="G188" s="4"/>
      <c r="H188" s="4"/>
      <c r="I188" s="4"/>
    </row>
    <row r="189" spans="1:17" x14ac:dyDescent="0.25">
      <c r="A189" s="4">
        <v>10001</v>
      </c>
      <c r="B189" s="53" t="s">
        <v>58</v>
      </c>
      <c r="C189" s="117">
        <v>100</v>
      </c>
      <c r="D189" s="118">
        <v>0</v>
      </c>
      <c r="E189" s="61">
        <f t="shared" si="31"/>
        <v>100</v>
      </c>
      <c r="F189" s="4"/>
      <c r="G189" s="4"/>
      <c r="H189" s="4"/>
      <c r="I189" s="4"/>
    </row>
    <row r="190" spans="1:17" x14ac:dyDescent="0.25">
      <c r="A190" s="4">
        <v>10002</v>
      </c>
      <c r="B190" s="114" t="s">
        <v>30</v>
      </c>
      <c r="C190" s="115">
        <v>1000</v>
      </c>
      <c r="D190" s="119">
        <f>186.43+66.1</f>
        <v>252.53</v>
      </c>
      <c r="E190" s="61">
        <f t="shared" si="31"/>
        <v>747.47</v>
      </c>
      <c r="F190" s="4"/>
      <c r="G190" s="4"/>
      <c r="H190" s="4"/>
      <c r="I190" s="4"/>
    </row>
    <row r="191" spans="1:17" x14ac:dyDescent="0.25">
      <c r="A191" s="4">
        <v>10003</v>
      </c>
      <c r="B191" s="53" t="s">
        <v>31</v>
      </c>
      <c r="C191" s="115">
        <v>100</v>
      </c>
      <c r="D191" s="119">
        <v>0</v>
      </c>
      <c r="E191" s="61">
        <f t="shared" si="31"/>
        <v>100</v>
      </c>
      <c r="F191" s="4"/>
      <c r="G191" s="4"/>
      <c r="H191" s="4"/>
      <c r="I191" s="4"/>
    </row>
    <row r="192" spans="1:17" x14ac:dyDescent="0.25">
      <c r="A192" s="4">
        <v>10006</v>
      </c>
      <c r="B192" s="53" t="s">
        <v>32</v>
      </c>
      <c r="C192" s="115">
        <v>600</v>
      </c>
      <c r="D192" s="119">
        <v>0</v>
      </c>
      <c r="E192" s="61">
        <f t="shared" si="31"/>
        <v>600</v>
      </c>
      <c r="F192" s="4"/>
      <c r="G192" s="4"/>
      <c r="H192" s="4"/>
      <c r="I192" s="4"/>
    </row>
    <row r="193" spans="1:9" x14ac:dyDescent="0.25">
      <c r="A193" s="4">
        <v>20001</v>
      </c>
      <c r="B193" s="53" t="s">
        <v>47</v>
      </c>
      <c r="C193" s="115">
        <v>100</v>
      </c>
      <c r="D193" s="119">
        <v>0</v>
      </c>
      <c r="E193" s="61">
        <f t="shared" si="31"/>
        <v>100</v>
      </c>
      <c r="F193" s="4"/>
      <c r="G193" s="4"/>
      <c r="H193" s="4"/>
      <c r="I193" s="4"/>
    </row>
    <row r="194" spans="1:9" x14ac:dyDescent="0.25">
      <c r="A194" s="4">
        <v>20002</v>
      </c>
      <c r="B194" s="53" t="s">
        <v>48</v>
      </c>
      <c r="C194" s="115">
        <v>100</v>
      </c>
      <c r="D194" s="119">
        <v>0</v>
      </c>
      <c r="E194" s="61">
        <f t="shared" si="31"/>
        <v>100</v>
      </c>
      <c r="F194" s="4"/>
      <c r="G194" s="4"/>
      <c r="H194" s="4"/>
      <c r="I194" s="4"/>
    </row>
    <row r="195" spans="1:9" x14ac:dyDescent="0.25">
      <c r="A195" s="4">
        <v>20003</v>
      </c>
      <c r="B195" s="53" t="s">
        <v>35</v>
      </c>
      <c r="C195" s="115">
        <v>2200</v>
      </c>
      <c r="D195" s="119">
        <f>23.12+1019.93+134</f>
        <v>1177.05</v>
      </c>
      <c r="E195" s="61">
        <f t="shared" si="31"/>
        <v>1022.95</v>
      </c>
      <c r="F195" s="4"/>
      <c r="G195" s="4"/>
      <c r="H195" s="4"/>
      <c r="I195" s="4"/>
    </row>
    <row r="196" spans="1:9" x14ac:dyDescent="0.25">
      <c r="A196" s="4">
        <v>30001</v>
      </c>
      <c r="B196" s="53" t="s">
        <v>36</v>
      </c>
      <c r="C196" s="115">
        <v>2500</v>
      </c>
      <c r="D196" s="119">
        <f>99.4+1745+16</f>
        <v>1860.4</v>
      </c>
      <c r="E196" s="61">
        <f t="shared" si="31"/>
        <v>639.59999999999991</v>
      </c>
      <c r="F196" s="4"/>
      <c r="G196" s="4"/>
      <c r="H196" s="4"/>
      <c r="I196" s="4"/>
    </row>
    <row r="197" spans="1:9" x14ac:dyDescent="0.25">
      <c r="A197" s="20">
        <v>30002</v>
      </c>
      <c r="B197" s="101" t="s">
        <v>49</v>
      </c>
      <c r="C197" s="120">
        <v>450</v>
      </c>
      <c r="D197" s="121">
        <v>0</v>
      </c>
      <c r="E197" s="61">
        <f t="shared" si="31"/>
        <v>450</v>
      </c>
    </row>
    <row r="198" spans="1:9" x14ac:dyDescent="0.25">
      <c r="A198" s="70" t="s">
        <v>38</v>
      </c>
      <c r="C198" s="122">
        <f>SUM(C188:C197)</f>
        <v>9650</v>
      </c>
      <c r="D198" s="118">
        <f>SUM(D188:D197)</f>
        <v>7383.7900000000009</v>
      </c>
      <c r="E198" s="123">
        <f t="shared" si="31"/>
        <v>2266.2099999999991</v>
      </c>
    </row>
  </sheetData>
  <pageMargins left="0.25" right="0.25" top="0.75" bottom="0.75" header="0.3" footer="0.3"/>
  <pageSetup paperSize="5" orientation="landscape"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EA Budget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E. Withers</dc:creator>
  <cp:lastModifiedBy>Wendy Treat</cp:lastModifiedBy>
  <dcterms:created xsi:type="dcterms:W3CDTF">2024-08-16T18:37:55Z</dcterms:created>
  <dcterms:modified xsi:type="dcterms:W3CDTF">2024-09-13T15:48:42Z</dcterms:modified>
</cp:coreProperties>
</file>